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nwc04fs01.intra.pref.yamaguchi.lg.jp\00000_山口県\05020_医療政策課\050_看護指導班\013統計データ\各種調査・需給推計\05）採用退職状況調査\R7\01起案\訪問看護\"/>
    </mc:Choice>
  </mc:AlternateContent>
  <xr:revisionPtr revIDLastSave="0" documentId="13_ncr:1_{26653F6E-B9D5-4EFE-A32E-C60144D6B5DE}" xr6:coauthVersionLast="36" xr6:coauthVersionMax="47" xr10:uidLastSave="{00000000-0000-0000-0000-000000000000}"/>
  <bookViews>
    <workbookView xWindow="0" yWindow="0" windowWidth="28800" windowHeight="12140" xr2:uid="{D3D05A39-65DC-419A-9A3B-DD2118D1599D}"/>
  </bookViews>
  <sheets>
    <sheet name="調査票" sheetId="5" r:id="rId1"/>
    <sheet name="常勤換算計算表" sheetId="9" r:id="rId2"/>
    <sheet name="カテゴリー" sheetId="10" r:id="rId3"/>
    <sheet name="自動計算シート※入力しないでください！" sheetId="6" r:id="rId4"/>
    <sheet name="自動計算シート※入力しないでください！ (2)" sheetId="7" r:id="rId5"/>
  </sheets>
  <definedNames>
    <definedName name="_xlnm.Print_Area" localSheetId="0">調査票!$A$1:$P$251</definedName>
    <definedName name="_xlnm.Print_Titles" localSheetId="1">常勤換算計算表!$2:$3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5" l="1"/>
  <c r="DM6" i="7" l="1"/>
  <c r="DL6" i="7"/>
  <c r="DK6" i="7"/>
  <c r="DJ6" i="7"/>
  <c r="DI6" i="7"/>
  <c r="DH6" i="7"/>
  <c r="DG6" i="7"/>
  <c r="DF6" i="7"/>
  <c r="DE6" i="7"/>
  <c r="DD6" i="7"/>
  <c r="DC6" i="7"/>
  <c r="DB6" i="7"/>
  <c r="DA6" i="7"/>
  <c r="CZ6" i="7"/>
  <c r="CY6" i="7"/>
  <c r="CX6" i="7"/>
  <c r="CW6" i="7"/>
  <c r="CV6" i="7"/>
  <c r="CU6" i="7"/>
  <c r="CT6" i="7"/>
  <c r="CS6" i="7"/>
  <c r="CR6" i="7"/>
  <c r="CQ6" i="7"/>
  <c r="CP6" i="7"/>
  <c r="CO6" i="7"/>
  <c r="CN6" i="7" l="1"/>
  <c r="CM6" i="7"/>
  <c r="CL6" i="7"/>
  <c r="CK6" i="7"/>
  <c r="BV6" i="7" l="1"/>
  <c r="H237" i="5" l="1"/>
  <c r="H236" i="5"/>
  <c r="I193" i="5"/>
  <c r="I192" i="5"/>
  <c r="I191" i="5"/>
  <c r="K190" i="5"/>
  <c r="I142" i="5"/>
  <c r="J140" i="5"/>
  <c r="I143" i="5"/>
  <c r="I141" i="5"/>
  <c r="ZZ6" i="6"/>
  <c r="ZY6" i="6"/>
  <c r="ZX6" i="6"/>
  <c r="ZW6" i="6"/>
  <c r="ZV6" i="6"/>
  <c r="ZU6" i="6"/>
  <c r="ZT6" i="6"/>
  <c r="ZS6" i="6"/>
  <c r="ZR6" i="6"/>
  <c r="ZQ6" i="6"/>
  <c r="ZP6" i="6"/>
  <c r="ZO6" i="6"/>
  <c r="ZN6" i="6"/>
  <c r="ZM6" i="6"/>
  <c r="ZL6" i="6"/>
  <c r="ZK6" i="6"/>
  <c r="ZJ6" i="6"/>
  <c r="ZI6" i="6"/>
  <c r="ZH6" i="6"/>
  <c r="ZG6" i="6"/>
  <c r="ZF6" i="6"/>
  <c r="ZE6" i="6"/>
  <c r="ZD6" i="6"/>
  <c r="ZC6" i="6"/>
  <c r="ZB6" i="6"/>
  <c r="ZA6" i="6"/>
  <c r="YZ6" i="6"/>
  <c r="YY6" i="6"/>
  <c r="YL6" i="6"/>
  <c r="YK6" i="6"/>
  <c r="QR6" i="6" l="1"/>
  <c r="QQ6" i="6"/>
  <c r="QP6" i="6"/>
  <c r="QO6" i="6"/>
  <c r="QN6" i="6"/>
  <c r="QM6" i="6"/>
  <c r="QL6" i="6"/>
  <c r="LL6" i="6"/>
  <c r="LK6" i="6"/>
  <c r="LJ6" i="6"/>
  <c r="LI6" i="6"/>
  <c r="LH6" i="6"/>
  <c r="LG6" i="6"/>
  <c r="LF6" i="6"/>
  <c r="ON6" i="6"/>
  <c r="OM6" i="6"/>
  <c r="OL6" i="6"/>
  <c r="OK6" i="6"/>
  <c r="OJ6" i="6"/>
  <c r="OI6" i="6"/>
  <c r="OH6" i="6"/>
  <c r="YX6" i="6"/>
  <c r="YW6" i="6"/>
  <c r="YV6" i="6"/>
  <c r="YU6" i="6"/>
  <c r="YT6" i="6"/>
  <c r="YS6" i="6"/>
  <c r="YR6" i="6"/>
  <c r="YQ6" i="6"/>
  <c r="YP6" i="6"/>
  <c r="YO6" i="6"/>
  <c r="YN6" i="6"/>
  <c r="YM6" i="6"/>
  <c r="YJ6" i="6"/>
  <c r="YI6" i="6"/>
  <c r="YH6" i="6"/>
  <c r="YG6" i="6"/>
  <c r="YF6" i="6"/>
  <c r="YE6" i="6"/>
  <c r="YD6" i="6"/>
  <c r="YC6" i="6"/>
  <c r="YB6" i="6"/>
  <c r="AAF6" i="6" s="1"/>
  <c r="YA6" i="6"/>
  <c r="XZ6" i="6"/>
  <c r="XY6" i="6"/>
  <c r="XX6" i="6"/>
  <c r="XW6" i="6"/>
  <c r="SN6" i="6"/>
  <c r="SM6" i="6"/>
  <c r="SL6" i="6"/>
  <c r="SK6" i="6"/>
  <c r="SJ6" i="6"/>
  <c r="SI6" i="6"/>
  <c r="SH6" i="6"/>
  <c r="SF6" i="6"/>
  <c r="SE6" i="6"/>
  <c r="SD6" i="6"/>
  <c r="SC6" i="6"/>
  <c r="SB6" i="6"/>
  <c r="SA6" i="6"/>
  <c r="RZ6" i="6"/>
  <c r="RX6" i="6"/>
  <c r="RW6" i="6"/>
  <c r="RV6" i="6"/>
  <c r="RU6" i="6"/>
  <c r="RT6" i="6"/>
  <c r="RS6" i="6"/>
  <c r="RR6" i="6"/>
  <c r="RP6" i="6"/>
  <c r="RO6" i="6"/>
  <c r="RN6" i="6"/>
  <c r="RM6" i="6"/>
  <c r="RL6" i="6"/>
  <c r="RK6" i="6"/>
  <c r="RJ6" i="6"/>
  <c r="RH6" i="6"/>
  <c r="RG6" i="6"/>
  <c r="RF6" i="6"/>
  <c r="RE6" i="6"/>
  <c r="RD6" i="6"/>
  <c r="RC6" i="6"/>
  <c r="RB6" i="6"/>
  <c r="QZ6" i="6"/>
  <c r="QY6" i="6"/>
  <c r="QX6" i="6"/>
  <c r="QW6" i="6"/>
  <c r="QV6" i="6"/>
  <c r="QU6" i="6"/>
  <c r="QT6" i="6"/>
  <c r="QJ6" i="6"/>
  <c r="QI6" i="6"/>
  <c r="QH6" i="6"/>
  <c r="QG6" i="6"/>
  <c r="QF6" i="6"/>
  <c r="QE6" i="6"/>
  <c r="QD6" i="6"/>
  <c r="QB6" i="6"/>
  <c r="QA6" i="6"/>
  <c r="PZ6" i="6"/>
  <c r="PY6" i="6"/>
  <c r="PX6" i="6"/>
  <c r="PW6" i="6"/>
  <c r="PV6" i="6"/>
  <c r="PT6" i="6"/>
  <c r="PS6" i="6"/>
  <c r="PR6" i="6"/>
  <c r="PQ6" i="6"/>
  <c r="PP6" i="6"/>
  <c r="PO6" i="6"/>
  <c r="PN6" i="6"/>
  <c r="PL6" i="6"/>
  <c r="PK6" i="6"/>
  <c r="PJ6" i="6"/>
  <c r="PI6" i="6"/>
  <c r="PH6" i="6"/>
  <c r="PG6" i="6"/>
  <c r="PF6" i="6"/>
  <c r="PD6" i="6"/>
  <c r="PC6" i="6"/>
  <c r="PB6" i="6"/>
  <c r="PA6" i="6"/>
  <c r="OZ6" i="6"/>
  <c r="OY6" i="6"/>
  <c r="OX6" i="6"/>
  <c r="OV6" i="6"/>
  <c r="OU6" i="6"/>
  <c r="OT6" i="6"/>
  <c r="OS6" i="6"/>
  <c r="OR6" i="6"/>
  <c r="OQ6" i="6"/>
  <c r="OP6" i="6"/>
  <c r="OF6" i="6"/>
  <c r="OE6" i="6"/>
  <c r="OD6" i="6"/>
  <c r="OC6" i="6"/>
  <c r="OB6" i="6"/>
  <c r="OA6" i="6"/>
  <c r="NZ6" i="6"/>
  <c r="NX6" i="6"/>
  <c r="NW6" i="6"/>
  <c r="NV6" i="6"/>
  <c r="NU6" i="6"/>
  <c r="NT6" i="6"/>
  <c r="NS6" i="6"/>
  <c r="NR6" i="6"/>
  <c r="NP6" i="6"/>
  <c r="NO6" i="6"/>
  <c r="NN6" i="6"/>
  <c r="NM6" i="6"/>
  <c r="NL6" i="6"/>
  <c r="NK6" i="6"/>
  <c r="NJ6" i="6"/>
  <c r="NH6" i="6"/>
  <c r="NG6" i="6"/>
  <c r="NF6" i="6"/>
  <c r="NE6" i="6"/>
  <c r="ND6" i="6"/>
  <c r="NC6" i="6"/>
  <c r="NB6" i="6"/>
  <c r="MZ6" i="6"/>
  <c r="MY6" i="6"/>
  <c r="MX6" i="6"/>
  <c r="MW6" i="6"/>
  <c r="MV6" i="6"/>
  <c r="MU6" i="6"/>
  <c r="MT6" i="6"/>
  <c r="MR6" i="6"/>
  <c r="MQ6" i="6"/>
  <c r="MP6" i="6"/>
  <c r="MO6" i="6"/>
  <c r="MN6" i="6"/>
  <c r="MM6" i="6"/>
  <c r="ML6" i="6"/>
  <c r="MJ6" i="6"/>
  <c r="MI6" i="6"/>
  <c r="MH6" i="6"/>
  <c r="MG6" i="6"/>
  <c r="MF6" i="6"/>
  <c r="ME6" i="6"/>
  <c r="MD6" i="6"/>
  <c r="MB6" i="6"/>
  <c r="MA6" i="6"/>
  <c r="LZ6" i="6"/>
  <c r="LY6" i="6"/>
  <c r="LX6" i="6"/>
  <c r="LW6" i="6"/>
  <c r="LV6" i="6"/>
  <c r="LT6" i="6"/>
  <c r="LS6" i="6"/>
  <c r="LR6" i="6"/>
  <c r="LQ6" i="6"/>
  <c r="LP6" i="6"/>
  <c r="LO6" i="6"/>
  <c r="LN6" i="6"/>
  <c r="LD6" i="6"/>
  <c r="LC6" i="6"/>
  <c r="LB6" i="6"/>
  <c r="LA6" i="6"/>
  <c r="KZ6" i="6"/>
  <c r="KY6" i="6"/>
  <c r="KX6" i="6"/>
  <c r="KV6" i="6"/>
  <c r="KU6" i="6"/>
  <c r="KT6" i="6"/>
  <c r="KS6" i="6"/>
  <c r="KR6" i="6"/>
  <c r="KQ6" i="6"/>
  <c r="KP6" i="6"/>
  <c r="KN6" i="6"/>
  <c r="KM6" i="6"/>
  <c r="KL6" i="6"/>
  <c r="KK6" i="6"/>
  <c r="KJ6" i="6"/>
  <c r="KI6" i="6"/>
  <c r="KH6" i="6"/>
  <c r="KF6" i="6"/>
  <c r="KE6" i="6"/>
  <c r="KD6" i="6"/>
  <c r="KC6" i="6"/>
  <c r="KB6" i="6"/>
  <c r="KA6" i="6"/>
  <c r="JZ6" i="6"/>
  <c r="JX6" i="6"/>
  <c r="JW6" i="6"/>
  <c r="JV6" i="6"/>
  <c r="JU6" i="6"/>
  <c r="JT6" i="6"/>
  <c r="JS6" i="6"/>
  <c r="JR6" i="6"/>
  <c r="JP6" i="6"/>
  <c r="JO6" i="6"/>
  <c r="JN6" i="6"/>
  <c r="JM6" i="6"/>
  <c r="JL6" i="6"/>
  <c r="JK6" i="6"/>
  <c r="JJ6" i="6"/>
  <c r="JH6" i="6"/>
  <c r="JG6" i="6"/>
  <c r="JF6" i="6"/>
  <c r="JE6" i="6"/>
  <c r="JD6" i="6"/>
  <c r="JC6" i="6"/>
  <c r="JB6" i="6"/>
  <c r="IZ6" i="6"/>
  <c r="IY6" i="6"/>
  <c r="IX6" i="6"/>
  <c r="IW6" i="6"/>
  <c r="IV6" i="6"/>
  <c r="IU6" i="6"/>
  <c r="IT6" i="6"/>
  <c r="IR6" i="6"/>
  <c r="IQ6" i="6"/>
  <c r="IP6" i="6"/>
  <c r="IO6" i="6"/>
  <c r="IN6" i="6"/>
  <c r="IM6" i="6"/>
  <c r="IL6" i="6"/>
  <c r="IJ6" i="6"/>
  <c r="II6" i="6"/>
  <c r="IH6" i="6"/>
  <c r="IG6" i="6"/>
  <c r="IF6" i="6"/>
  <c r="IE6" i="6"/>
  <c r="ID6" i="6"/>
  <c r="HU6" i="6"/>
  <c r="HT6" i="6"/>
  <c r="HS6" i="6"/>
  <c r="HR6" i="6"/>
  <c r="HQ6" i="6"/>
  <c r="HP6" i="6"/>
  <c r="HN6" i="6"/>
  <c r="HM6" i="6"/>
  <c r="HL6" i="6"/>
  <c r="HK6" i="6"/>
  <c r="HJ6" i="6"/>
  <c r="HI6" i="6"/>
  <c r="GZ6" i="6"/>
  <c r="GY6" i="6"/>
  <c r="GX6" i="6"/>
  <c r="GW6" i="6"/>
  <c r="GV6" i="6"/>
  <c r="GU6" i="6"/>
  <c r="GS6" i="6"/>
  <c r="GR6" i="6"/>
  <c r="GQ6" i="6"/>
  <c r="GP6" i="6"/>
  <c r="GO6" i="6"/>
  <c r="GN6" i="6"/>
  <c r="GA6" i="6"/>
  <c r="FZ6" i="6"/>
  <c r="FY6" i="6"/>
  <c r="FX6" i="6"/>
  <c r="FW6" i="6"/>
  <c r="FV6" i="6"/>
  <c r="FU6" i="6"/>
  <c r="FT6" i="6"/>
  <c r="FQ6" i="6"/>
  <c r="FP6" i="6"/>
  <c r="FO6" i="6"/>
  <c r="FN6" i="6"/>
  <c r="FM6" i="6"/>
  <c r="FL6" i="6"/>
  <c r="FK6" i="6"/>
  <c r="FJ6" i="6"/>
  <c r="EY6" i="6"/>
  <c r="EX6" i="6"/>
  <c r="EW6" i="6"/>
  <c r="EV6" i="6"/>
  <c r="EU6" i="6"/>
  <c r="ET6" i="6"/>
  <c r="ER6" i="6"/>
  <c r="EQ6" i="6"/>
  <c r="EP6" i="6"/>
  <c r="EO6" i="6"/>
  <c r="EN6" i="6"/>
  <c r="EM6" i="6"/>
  <c r="DZ6" i="6"/>
  <c r="DY6" i="6"/>
  <c r="DX6" i="6"/>
  <c r="DW6" i="6"/>
  <c r="DV6" i="6"/>
  <c r="DU6" i="6"/>
  <c r="DT6" i="6"/>
  <c r="DS6" i="6"/>
  <c r="DP6" i="6"/>
  <c r="DO6" i="6"/>
  <c r="DN6" i="6"/>
  <c r="DM6" i="6"/>
  <c r="DL6" i="6"/>
  <c r="DK6" i="6"/>
  <c r="DJ6" i="6"/>
  <c r="DI6" i="6"/>
  <c r="CX6" i="6"/>
  <c r="CV6" i="6"/>
  <c r="CU6" i="6"/>
  <c r="CT6" i="6"/>
  <c r="CS6" i="6"/>
  <c r="CR6" i="6"/>
  <c r="CQ6" i="6"/>
  <c r="CP6" i="6"/>
  <c r="CO6" i="6"/>
  <c r="CN6" i="6"/>
  <c r="CL6" i="6"/>
  <c r="CK6" i="6"/>
  <c r="CJ6" i="6"/>
  <c r="CI6" i="6"/>
  <c r="CH6" i="6"/>
  <c r="CG6" i="6"/>
  <c r="CF6" i="6"/>
  <c r="CE6" i="6"/>
  <c r="OO6" i="6" l="1"/>
  <c r="AW6" i="6" l="1"/>
  <c r="I46" i="5"/>
  <c r="I37" i="5"/>
  <c r="FW6" i="7"/>
  <c r="FV6" i="7"/>
  <c r="FU6" i="7"/>
  <c r="FT6" i="7"/>
  <c r="FS6" i="7"/>
  <c r="FR6" i="7"/>
  <c r="FQ6" i="7"/>
  <c r="FP6" i="7"/>
  <c r="FO6" i="7"/>
  <c r="FN6" i="7"/>
  <c r="FM6" i="7"/>
  <c r="FL6" i="7"/>
  <c r="FK6" i="7"/>
  <c r="DN6" i="7"/>
  <c r="CJ6" i="7"/>
  <c r="CI6" i="7"/>
  <c r="CH6" i="7"/>
  <c r="CG6" i="7"/>
  <c r="CF6" i="7"/>
  <c r="CE6" i="7"/>
  <c r="CD6" i="7"/>
  <c r="CC6" i="7"/>
  <c r="CB6" i="7"/>
  <c r="CA6" i="7"/>
  <c r="BZ6" i="7"/>
  <c r="BY6" i="7"/>
  <c r="BX6" i="7"/>
  <c r="BW6" i="7"/>
  <c r="BU6" i="7"/>
  <c r="BT6" i="7"/>
  <c r="BS6" i="7"/>
  <c r="BR6" i="7"/>
  <c r="BQ6" i="7"/>
  <c r="BP6" i="7"/>
  <c r="BO6" i="7"/>
  <c r="BN6" i="7"/>
  <c r="BM6" i="7"/>
  <c r="AAZ6" i="6"/>
  <c r="AAR6" i="6"/>
  <c r="AAO6" i="6"/>
  <c r="AAJ6" i="6" l="1"/>
  <c r="AAM6" i="6"/>
  <c r="AAN6" i="6"/>
  <c r="AAV6" i="6"/>
  <c r="AAU6" i="6"/>
  <c r="ABA6" i="6"/>
  <c r="AAC6" i="6"/>
  <c r="AAK6" i="6"/>
  <c r="AAS6" i="6"/>
  <c r="AAE6" i="6"/>
  <c r="AAI6" i="6"/>
  <c r="AAA6" i="6"/>
  <c r="AAP6" i="6"/>
  <c r="AAH6" i="6"/>
  <c r="AAX6" i="6"/>
  <c r="AAB6" i="6"/>
  <c r="AAD6" i="6"/>
  <c r="AAL6" i="6"/>
  <c r="AAT6" i="6"/>
  <c r="AAG6" i="6"/>
  <c r="AAW6" i="6"/>
  <c r="ABB6" i="6"/>
  <c r="AAQ6" i="6"/>
  <c r="AAY6" i="6"/>
  <c r="XV6" i="6" l="1"/>
  <c r="XS6" i="6"/>
  <c r="XJ6" i="6"/>
  <c r="VS6" i="6"/>
  <c r="VG6" i="6"/>
  <c r="TT6" i="6"/>
  <c r="TS6" i="6"/>
  <c r="TQ6" i="6"/>
  <c r="TO6" i="6"/>
  <c r="TN6" i="6"/>
  <c r="XC6" i="6"/>
  <c r="XA6" i="6"/>
  <c r="WT6" i="6"/>
  <c r="WR6" i="6"/>
  <c r="WK6" i="6"/>
  <c r="WI6" i="6"/>
  <c r="VZ6" i="6"/>
  <c r="WB6" i="6"/>
  <c r="VJ6" i="6"/>
  <c r="UX6" i="6"/>
  <c r="UQ6" i="6"/>
  <c r="UO6" i="6"/>
  <c r="UH6" i="6"/>
  <c r="UF6" i="6"/>
  <c r="TY6" i="6"/>
  <c r="TW6" i="6"/>
  <c r="XL6" i="6" l="1"/>
  <c r="VP6" i="6"/>
  <c r="UZ6" i="6"/>
  <c r="XG6" i="6"/>
  <c r="UL6" i="6"/>
  <c r="UU6" i="6"/>
  <c r="VM6" i="6"/>
  <c r="WN6" i="6"/>
  <c r="WE6" i="6"/>
  <c r="VV6" i="6"/>
  <c r="XP6" i="6"/>
  <c r="WX6" i="6"/>
  <c r="TP6" i="6"/>
  <c r="UB6" i="6"/>
  <c r="VD6" i="6"/>
  <c r="XN6" i="6"/>
  <c r="TZ6" i="6"/>
  <c r="UI6" i="6"/>
  <c r="UR6" i="6"/>
  <c r="VK6" i="6"/>
  <c r="WC6" i="6"/>
  <c r="WL6" i="6"/>
  <c r="WU6" i="6"/>
  <c r="XD6" i="6"/>
  <c r="VB6" i="6"/>
  <c r="VT6" i="6"/>
  <c r="UT6" i="6"/>
  <c r="VL6" i="6"/>
  <c r="UA6" i="6"/>
  <c r="WD6" i="6"/>
  <c r="WM6" i="6"/>
  <c r="WV6" i="6"/>
  <c r="VU6" i="6"/>
  <c r="UJ6" i="6"/>
  <c r="XH6" i="6"/>
  <c r="XQ6" i="6"/>
  <c r="UD6" i="6"/>
  <c r="UM6" i="6"/>
  <c r="UV6" i="6"/>
  <c r="VN6" i="6"/>
  <c r="WF6" i="6"/>
  <c r="WP6" i="6"/>
  <c r="WY6" i="6"/>
  <c r="VE6" i="6"/>
  <c r="VW6" i="6"/>
  <c r="WA6" i="6"/>
  <c r="VR6" i="6"/>
  <c r="XK6" i="6"/>
  <c r="XT6" i="6"/>
  <c r="UG6" i="6"/>
  <c r="UP6" i="6"/>
  <c r="TX6" i="6"/>
  <c r="UY6" i="6"/>
  <c r="WJ6" i="6"/>
  <c r="WS6" i="6"/>
  <c r="XB6" i="6"/>
  <c r="VH6" i="6"/>
  <c r="XI6" i="6"/>
  <c r="XR6" i="6"/>
  <c r="TV6" i="6"/>
  <c r="UE6" i="6"/>
  <c r="UN6" i="6"/>
  <c r="UW6" i="6"/>
  <c r="VO6" i="6"/>
  <c r="WH6" i="6"/>
  <c r="WQ6" i="6"/>
  <c r="WZ6" i="6"/>
  <c r="VF6" i="6"/>
  <c r="VX6" i="6"/>
  <c r="PU6" i="6"/>
  <c r="QC6" i="6"/>
  <c r="SO6" i="6"/>
  <c r="VC6" i="6"/>
  <c r="NQ6" i="6"/>
  <c r="TR6" i="6"/>
  <c r="NY6" i="6"/>
  <c r="PE6" i="6"/>
  <c r="PM6" i="6"/>
  <c r="QK6" i="6"/>
  <c r="QS6" i="6"/>
  <c r="RA6" i="6"/>
  <c r="RI6" i="6"/>
  <c r="RQ6" i="6"/>
  <c r="RY6" i="6"/>
  <c r="XF6" i="6"/>
  <c r="XO6" i="6"/>
  <c r="OG6" i="6"/>
  <c r="OW6" i="6"/>
  <c r="SG6" i="6"/>
  <c r="MS6" i="6"/>
  <c r="NA6" i="6"/>
  <c r="LU6" i="6"/>
  <c r="KW6" i="6"/>
  <c r="LM6" i="6"/>
  <c r="MC6" i="6"/>
  <c r="MK6" i="6"/>
  <c r="NI6" i="6"/>
  <c r="KO6" i="6"/>
  <c r="JY6" i="6"/>
  <c r="KG6" i="6"/>
  <c r="LE6" i="6"/>
  <c r="JQ6" i="6"/>
  <c r="JI6" i="6"/>
  <c r="TU6" i="6" s="1"/>
  <c r="TL6" i="6"/>
  <c r="TK6" i="6"/>
  <c r="TJ6" i="6"/>
  <c r="TI6" i="6"/>
  <c r="TH6" i="6"/>
  <c r="TG6" i="6"/>
  <c r="TF6" i="6"/>
  <c r="TD6" i="6"/>
  <c r="TC6" i="6"/>
  <c r="TB6" i="6"/>
  <c r="TA6" i="6"/>
  <c r="SZ6" i="6"/>
  <c r="SY6" i="6"/>
  <c r="SX6" i="6"/>
  <c r="SV6" i="6"/>
  <c r="SU6" i="6"/>
  <c r="ST6" i="6"/>
  <c r="SS6" i="6"/>
  <c r="SR6" i="6"/>
  <c r="SQ6" i="6"/>
  <c r="SP6" i="6"/>
  <c r="GK6" i="6"/>
  <c r="GJ6" i="6"/>
  <c r="GI6" i="6"/>
  <c r="GH6" i="6"/>
  <c r="GG6" i="6"/>
  <c r="GF6" i="6"/>
  <c r="GE6" i="6"/>
  <c r="GD6" i="6"/>
  <c r="FI6" i="6"/>
  <c r="FH6" i="6"/>
  <c r="HW6" i="6" l="1"/>
  <c r="VI6" i="6"/>
  <c r="XM6" i="6"/>
  <c r="WO6" i="6"/>
  <c r="UC6" i="6"/>
  <c r="US6" i="6"/>
  <c r="WG6" i="6"/>
  <c r="VA6" i="6"/>
  <c r="XU6" i="6"/>
  <c r="UK6" i="6"/>
  <c r="VY6" i="6"/>
  <c r="VQ6" i="6"/>
  <c r="XE6" i="6"/>
  <c r="WW6" i="6"/>
  <c r="HX6" i="6"/>
  <c r="IB6" i="6"/>
  <c r="HD6" i="6"/>
  <c r="JA6" i="6"/>
  <c r="TM6" i="6" s="1"/>
  <c r="IS6" i="6"/>
  <c r="TE6" i="6" s="1"/>
  <c r="IK6" i="6"/>
  <c r="SW6" i="6" s="1"/>
  <c r="HY6" i="6"/>
  <c r="HZ6" i="6"/>
  <c r="IA6" i="6"/>
  <c r="HC6" i="6"/>
  <c r="HV6" i="6"/>
  <c r="HE6" i="6"/>
  <c r="HB6" i="6"/>
  <c r="HO6" i="6"/>
  <c r="HF6" i="6"/>
  <c r="HG6" i="6"/>
  <c r="GT6" i="6"/>
  <c r="HA6" i="6"/>
  <c r="FS6" i="6"/>
  <c r="GC6" i="6"/>
  <c r="GM6" i="6"/>
  <c r="GL6" i="6"/>
  <c r="GB6" i="6"/>
  <c r="FR6" i="6"/>
  <c r="IC6" i="6" l="1"/>
  <c r="HH6" i="6"/>
  <c r="EJ6" i="6" l="1"/>
  <c r="EI6" i="6"/>
  <c r="EH6" i="6"/>
  <c r="EG6" i="6"/>
  <c r="EF6" i="6"/>
  <c r="EE6" i="6"/>
  <c r="ED6" i="6"/>
  <c r="EC6" i="6"/>
  <c r="EL6" i="6" l="1"/>
  <c r="EK6" i="6"/>
  <c r="DR6" i="6"/>
  <c r="EB6" i="6"/>
  <c r="EA6" i="6"/>
  <c r="DQ6" i="6"/>
  <c r="FF6" i="6" l="1"/>
  <c r="FE6" i="6"/>
  <c r="FD6" i="6"/>
  <c r="FC6" i="6"/>
  <c r="FB6" i="6"/>
  <c r="FA6" i="6"/>
  <c r="DH6" i="6" l="1"/>
  <c r="FG6" i="6"/>
  <c r="EZ6" i="6"/>
  <c r="ES6" i="6"/>
  <c r="CW6" i="6"/>
  <c r="DE6" i="6"/>
  <c r="DC6" i="6"/>
  <c r="DA6" i="6"/>
  <c r="CY6" i="6"/>
  <c r="DF6" i="6"/>
  <c r="DD6" i="6"/>
  <c r="DB6" i="6"/>
  <c r="CZ6" i="6"/>
  <c r="CM6" i="6" l="1"/>
  <c r="DG6" i="6" s="1"/>
  <c r="BX6" i="6"/>
  <c r="BW6" i="6"/>
  <c r="BV6" i="6"/>
  <c r="BU6" i="6"/>
  <c r="BS6" i="6"/>
  <c r="CC6" i="6" s="1"/>
  <c r="BR6" i="6"/>
  <c r="CB6" i="6" s="1"/>
  <c r="BQ6" i="6"/>
  <c r="CA6" i="6" s="1"/>
  <c r="BP6" i="6"/>
  <c r="BO6" i="6"/>
  <c r="BN6" i="6"/>
  <c r="BM6" i="6"/>
  <c r="BF6" i="6"/>
  <c r="BE6" i="6"/>
  <c r="BD6" i="6"/>
  <c r="BC6" i="6"/>
  <c r="BA6" i="6"/>
  <c r="AZ6" i="6"/>
  <c r="AY6" i="6"/>
  <c r="AX6" i="6"/>
  <c r="A6" i="6"/>
  <c r="BZ6" i="6" l="1"/>
  <c r="BH6" i="6"/>
  <c r="BI6" i="6"/>
  <c r="BJ6" i="6"/>
  <c r="BK6" i="6"/>
  <c r="L248" i="5"/>
  <c r="L247" i="5"/>
  <c r="I79" i="5" l="1"/>
  <c r="O52" i="5" l="1"/>
  <c r="BT6" i="6" s="1"/>
  <c r="O53" i="5"/>
  <c r="BY6" i="6" s="1"/>
  <c r="O42" i="5"/>
  <c r="BG6" i="6" s="1"/>
  <c r="O41" i="5"/>
  <c r="BB6" i="6" s="1"/>
  <c r="Q42" i="5"/>
  <c r="CD6" i="6" l="1"/>
  <c r="BL6" i="6"/>
  <c r="Q53" i="5"/>
  <c r="FX6" i="7"/>
  <c r="H159" i="5"/>
  <c r="H109" i="5"/>
  <c r="I235" i="5" l="1"/>
  <c r="N235" i="5"/>
  <c r="H232" i="5"/>
  <c r="FJ6" i="7" l="1"/>
  <c r="FI6" i="7"/>
  <c r="FH6" i="7"/>
  <c r="FG6" i="7"/>
  <c r="FF6" i="7"/>
  <c r="FE6" i="7"/>
  <c r="FD6" i="7"/>
  <c r="FC6" i="7"/>
  <c r="FB6" i="7"/>
  <c r="FA6" i="7"/>
  <c r="EZ6" i="7"/>
  <c r="EY6" i="7"/>
  <c r="EX6" i="7"/>
  <c r="EW6" i="7"/>
  <c r="EV6" i="7"/>
  <c r="EU6" i="7"/>
  <c r="H229" i="5" l="1"/>
  <c r="H218" i="5"/>
  <c r="AS6" i="6" l="1"/>
  <c r="AU6" i="6"/>
  <c r="AT6" i="6"/>
  <c r="AR6" i="6"/>
  <c r="AQ6" i="6"/>
  <c r="K34" i="5" l="1"/>
  <c r="AV6" i="6" s="1"/>
  <c r="B6" i="6" l="1"/>
  <c r="J155" i="5"/>
  <c r="J137" i="5"/>
  <c r="C213" i="5"/>
  <c r="F209" i="5"/>
  <c r="M38" i="9" l="1"/>
  <c r="M37" i="9"/>
  <c r="M36" i="9"/>
  <c r="M35" i="9"/>
  <c r="M34" i="9"/>
  <c r="M33" i="9"/>
  <c r="M32" i="9"/>
  <c r="M29" i="9"/>
  <c r="M28" i="9"/>
  <c r="M27" i="9"/>
  <c r="M26" i="9"/>
  <c r="M25" i="9"/>
  <c r="M24" i="9"/>
  <c r="M23" i="9"/>
  <c r="M20" i="9"/>
  <c r="M19" i="9"/>
  <c r="M18" i="9"/>
  <c r="M17" i="9"/>
  <c r="M16" i="9"/>
  <c r="M15" i="9"/>
  <c r="M14" i="9"/>
  <c r="M11" i="9"/>
  <c r="M10" i="9"/>
  <c r="M9" i="9"/>
  <c r="M8" i="9"/>
  <c r="M7" i="9"/>
  <c r="M6" i="9"/>
  <c r="M5" i="9"/>
  <c r="F38" i="9"/>
  <c r="F37" i="9"/>
  <c r="F36" i="9"/>
  <c r="F35" i="9"/>
  <c r="F34" i="9"/>
  <c r="F33" i="9"/>
  <c r="F32" i="9"/>
  <c r="F20" i="9"/>
  <c r="F19" i="9"/>
  <c r="F18" i="9"/>
  <c r="F17" i="9"/>
  <c r="F16" i="9"/>
  <c r="F15" i="9"/>
  <c r="F14" i="9"/>
  <c r="F11" i="9"/>
  <c r="F10" i="9"/>
  <c r="F9" i="9"/>
  <c r="F8" i="9"/>
  <c r="F7" i="9"/>
  <c r="F6" i="9"/>
  <c r="F5" i="9"/>
  <c r="F22" i="9"/>
  <c r="F23" i="9"/>
  <c r="F24" i="9"/>
  <c r="F27" i="9"/>
  <c r="F28" i="9"/>
  <c r="F29" i="9"/>
  <c r="F26" i="9"/>
  <c r="F25" i="9"/>
  <c r="F6" i="6" l="1"/>
  <c r="E6" i="6"/>
  <c r="D6" i="6"/>
  <c r="C6" i="6"/>
  <c r="B6" i="7" l="1"/>
  <c r="ES6" i="7" l="1"/>
  <c r="EL6" i="7"/>
  <c r="EG6" i="7"/>
  <c r="DX6" i="7"/>
  <c r="DR6" i="7"/>
  <c r="BD6" i="7"/>
  <c r="AX6" i="7"/>
  <c r="AW6" i="7"/>
  <c r="AV6" i="7"/>
  <c r="AU6" i="7"/>
  <c r="AT6" i="7"/>
  <c r="AS6" i="7"/>
  <c r="AR6" i="7"/>
  <c r="AQ6" i="7"/>
  <c r="AH6" i="7"/>
  <c r="Y6" i="7"/>
  <c r="O6" i="7"/>
  <c r="D6" i="7"/>
  <c r="ET6" i="7"/>
  <c r="ER6" i="7"/>
  <c r="EQ6" i="7"/>
  <c r="EP6" i="7"/>
  <c r="EO6" i="7"/>
  <c r="EM6" i="7"/>
  <c r="EN6" i="7"/>
  <c r="EK6" i="7"/>
  <c r="EJ6" i="7"/>
  <c r="EI6" i="7"/>
  <c r="EH6" i="7"/>
  <c r="EF6" i="7"/>
  <c r="EE6" i="7"/>
  <c r="EB6" i="7"/>
  <c r="ED6" i="7"/>
  <c r="EC6" i="7"/>
  <c r="EA6" i="7"/>
  <c r="DZ6" i="7"/>
  <c r="DY6" i="7"/>
  <c r="DW6" i="7"/>
  <c r="DV6" i="7"/>
  <c r="DU6" i="7"/>
  <c r="DT6" i="7"/>
  <c r="DS6" i="7"/>
  <c r="DQ6" i="7"/>
  <c r="DP6" i="7"/>
  <c r="DO6" i="7"/>
  <c r="BL6" i="7"/>
  <c r="BK6" i="7"/>
  <c r="BJ6" i="7"/>
  <c r="BI6" i="7"/>
  <c r="BH6" i="7"/>
  <c r="BG6" i="7"/>
  <c r="BF6" i="7"/>
  <c r="BE6" i="7"/>
  <c r="BC6" i="7"/>
  <c r="BB6" i="7"/>
  <c r="BA6" i="7"/>
  <c r="AZ6" i="7"/>
  <c r="AY6" i="7"/>
  <c r="AP6" i="7" l="1"/>
  <c r="AO6" i="7"/>
  <c r="AN6" i="7"/>
  <c r="AM6" i="7"/>
  <c r="AL6" i="7"/>
  <c r="AK6" i="7"/>
  <c r="AJ6" i="7"/>
  <c r="AI6" i="7"/>
  <c r="AG6" i="7"/>
  <c r="AF6" i="7"/>
  <c r="AE6" i="7"/>
  <c r="AD6" i="7"/>
  <c r="AC6" i="7"/>
  <c r="AB6" i="7"/>
  <c r="AA6" i="7"/>
  <c r="Z6" i="7"/>
  <c r="X6" i="7"/>
  <c r="W6" i="7"/>
  <c r="V6" i="7"/>
  <c r="U6" i="7"/>
  <c r="T6" i="7"/>
  <c r="S6" i="7"/>
  <c r="R6" i="7"/>
  <c r="Q6" i="7"/>
  <c r="P6" i="7"/>
  <c r="N6" i="7"/>
  <c r="C6" i="7"/>
  <c r="M6" i="7" l="1"/>
  <c r="L6" i="7"/>
  <c r="K6" i="7"/>
  <c r="J6" i="7"/>
  <c r="I6" i="7"/>
  <c r="H6" i="7"/>
  <c r="G6" i="7"/>
  <c r="F6" i="7"/>
  <c r="E6" i="7"/>
  <c r="AD6" i="6"/>
  <c r="AB6" i="6"/>
  <c r="AA6" i="6"/>
  <c r="Z6" i="6"/>
  <c r="Y6" i="6"/>
  <c r="X6" i="6"/>
  <c r="V6" i="6"/>
  <c r="U6" i="6"/>
  <c r="T6" i="6"/>
  <c r="S6" i="6"/>
  <c r="R6" i="6"/>
  <c r="P6" i="6"/>
  <c r="O6" i="6"/>
  <c r="N6" i="6"/>
  <c r="M6" i="6"/>
  <c r="L6" i="6"/>
  <c r="J6" i="6"/>
  <c r="I6" i="6"/>
  <c r="H6" i="6"/>
  <c r="G6" i="6"/>
  <c r="A6" i="7"/>
  <c r="M31" i="9" l="1"/>
  <c r="M22" i="9"/>
  <c r="M13" i="9"/>
  <c r="M4" i="9"/>
  <c r="F31" i="9"/>
  <c r="F13" i="9"/>
  <c r="F4" i="9"/>
  <c r="M23" i="5"/>
  <c r="AF6" i="6" s="1"/>
  <c r="M24" i="5"/>
  <c r="AG6" i="6" s="1"/>
  <c r="M25" i="5"/>
  <c r="AH6" i="6" s="1"/>
  <c r="M27" i="5"/>
  <c r="AJ6" i="6" s="1"/>
  <c r="O22" i="5"/>
  <c r="O23" i="5"/>
  <c r="AL6" i="6" s="1"/>
  <c r="O24" i="5"/>
  <c r="AM6" i="6" s="1"/>
  <c r="O25" i="5"/>
  <c r="AN6" i="6" s="1"/>
  <c r="O27" i="5"/>
  <c r="AP6" i="6" s="1"/>
  <c r="AK6" i="6" l="1"/>
  <c r="O26" i="5"/>
  <c r="AO6" i="6" s="1"/>
  <c r="F21" i="9"/>
  <c r="M12" i="9"/>
  <c r="M21" i="9"/>
  <c r="M30" i="9"/>
  <c r="M39" i="9"/>
  <c r="F12" i="9"/>
  <c r="F30" i="9"/>
  <c r="F39" i="9"/>
  <c r="M22" i="5" l="1"/>
  <c r="M26" i="5" s="1"/>
  <c r="K26" i="5"/>
  <c r="AC6" i="6" s="1"/>
  <c r="E26" i="5"/>
  <c r="K6" i="6" s="1"/>
  <c r="G26" i="5"/>
  <c r="Q6" i="6" s="1"/>
  <c r="I26" i="5"/>
  <c r="W6" i="6" s="1"/>
  <c r="AI6" i="6" l="1"/>
  <c r="AE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X68" authorId="0" shapeId="0" xr:uid="{E351088B-F6B3-491A-90A6-298549C03488}">
      <text>
        <r>
          <rPr>
            <b/>
            <sz val="9"/>
            <color indexed="81"/>
            <rFont val="MS P ゴシック"/>
            <family val="3"/>
            <charset val="128"/>
          </rPr>
          <t>Administrator:</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13" authorId="0" shapeId="0" xr:uid="{670D3BEE-580E-4483-B72C-BCBABC144CE4}">
      <text>
        <r>
          <rPr>
            <b/>
            <sz val="9"/>
            <color indexed="81"/>
            <rFont val="MS P ゴシック"/>
            <family val="3"/>
            <charset val="128"/>
          </rPr>
          <t>Administrator:</t>
        </r>
        <r>
          <rPr>
            <sz val="9"/>
            <color indexed="81"/>
            <rFont val="MS P ゴシック"/>
            <family val="3"/>
            <charset val="128"/>
          </rPr>
          <t xml:space="preserve">
</t>
        </r>
      </text>
    </comment>
  </commentList>
</comments>
</file>

<file path=xl/sharedStrings.xml><?xml version="1.0" encoding="utf-8"?>
<sst xmlns="http://schemas.openxmlformats.org/spreadsheetml/2006/main" count="1672" uniqueCount="574">
  <si>
    <t>施設名</t>
    <rPh sb="0" eb="3">
      <t>シセツメイ</t>
    </rPh>
    <phoneticPr fontId="1"/>
  </si>
  <si>
    <t>役職名</t>
    <rPh sb="0" eb="3">
      <t>ヤクショクメイ</t>
    </rPh>
    <phoneticPr fontId="1"/>
  </si>
  <si>
    <t>E-mail</t>
    <phoneticPr fontId="1"/>
  </si>
  <si>
    <t>電話番号</t>
    <rPh sb="0" eb="2">
      <t>デンワ</t>
    </rPh>
    <rPh sb="2" eb="4">
      <t>バンゴウ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</si>
  <si>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</si>
  <si>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</si>
  <si>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</si>
  <si>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</si>
  <si>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5">
      <t>カンゴホジョシャ</t>
    </rPh>
    <phoneticPr fontId="1"/>
  </si>
  <si>
    <t>実人員</t>
    <rPh sb="0" eb="3">
      <t>ジツジンイン</t>
    </rPh>
    <phoneticPr fontId="1"/>
  </si>
  <si>
    <t>※１　育児・介護等による短時間勤務制度を利用している職員を含む</t>
    <rPh sb="3" eb="5">
      <t>イクジ</t>
    </rPh>
    <rPh sb="6" eb="8">
      <t>カイゴ</t>
    </rPh>
    <rPh sb="8" eb="9">
      <t>ナド</t>
    </rPh>
    <rPh sb="12" eb="15">
      <t>タンジカン</t>
    </rPh>
    <rPh sb="15" eb="19">
      <t>キンムセイド</t>
    </rPh>
    <rPh sb="20" eb="22">
      <t>リヨウ</t>
    </rPh>
    <rPh sb="26" eb="28">
      <t>ショクイン</t>
    </rPh>
    <rPh sb="29" eb="30">
      <t>フク</t>
    </rPh>
    <phoneticPr fontId="1"/>
  </si>
  <si>
    <t>※２　臨時職員、嘱託職員、アルバイト、パートタイマー、派遣職員等</t>
    <rPh sb="3" eb="7">
      <t>リンジショクイン</t>
    </rPh>
    <rPh sb="8" eb="12">
      <t>ショクタクショクイン</t>
    </rPh>
    <rPh sb="27" eb="31">
      <t>ハケンショクイン</t>
    </rPh>
    <rPh sb="31" eb="32">
      <t>ナド</t>
    </rPh>
    <phoneticPr fontId="1"/>
  </si>
  <si>
    <t>16～20年</t>
    <rPh sb="5" eb="6">
      <t>ネン</t>
    </rPh>
    <phoneticPr fontId="1"/>
  </si>
  <si>
    <t>21年以上</t>
    <rPh sb="2" eb="3">
      <t>ネン</t>
    </rPh>
    <rPh sb="3" eb="5">
      <t>イジョウ</t>
    </rPh>
    <phoneticPr fontId="1"/>
  </si>
  <si>
    <t>20～29歳</t>
    <rPh sb="5" eb="6">
      <t>サイ</t>
    </rPh>
    <phoneticPr fontId="1"/>
  </si>
  <si>
    <t>30～39歳</t>
    <rPh sb="5" eb="6">
      <t>サイ</t>
    </rPh>
    <phoneticPr fontId="1"/>
  </si>
  <si>
    <t>40～49歳</t>
    <rPh sb="5" eb="6">
      <t>サイ</t>
    </rPh>
    <phoneticPr fontId="1"/>
  </si>
  <si>
    <t>50～59歳</t>
    <rPh sb="5" eb="6">
      <t>サイ</t>
    </rPh>
    <phoneticPr fontId="1"/>
  </si>
  <si>
    <t>60歳以上</t>
    <rPh sb="2" eb="5">
      <t>サイイジョウ</t>
    </rPh>
    <phoneticPr fontId="1"/>
  </si>
  <si>
    <t>）</t>
    <phoneticPr fontId="1"/>
  </si>
  <si>
    <r>
      <t>正規雇用職員</t>
    </r>
    <r>
      <rPr>
        <sz val="9"/>
        <color theme="1"/>
        <rFont val="ＭＳ Ｐゴシック"/>
        <family val="3"/>
        <charset val="128"/>
      </rPr>
      <t>※１</t>
    </r>
    <rPh sb="0" eb="4">
      <t>セイキコヨウ</t>
    </rPh>
    <rPh sb="4" eb="6">
      <t>ショクイン</t>
    </rPh>
    <phoneticPr fontId="1"/>
  </si>
  <si>
    <r>
      <t>非正規雇用職員</t>
    </r>
    <r>
      <rPr>
        <sz val="9"/>
        <color theme="1"/>
        <rFont val="ＭＳ Ｐゴシック"/>
        <family val="3"/>
        <charset val="128"/>
      </rPr>
      <t>※２</t>
    </r>
    <rPh sb="0" eb="5">
      <t>ヒセイキコヨウ</t>
    </rPh>
    <rPh sb="5" eb="7">
      <t>ショクイン</t>
    </rPh>
    <phoneticPr fontId="1"/>
  </si>
  <si>
    <r>
      <t>常勤換算</t>
    </r>
    <r>
      <rPr>
        <sz val="9"/>
        <color theme="1"/>
        <rFont val="ＭＳ Ｐゴシック"/>
        <family val="3"/>
        <charset val="128"/>
      </rPr>
      <t>※３</t>
    </r>
    <rPh sb="0" eb="2">
      <t>ジョウキン</t>
    </rPh>
    <rPh sb="2" eb="4">
      <t>カンサン</t>
    </rPh>
    <phoneticPr fontId="1"/>
  </si>
  <si>
    <t>その他　（</t>
    <rPh sb="2" eb="3">
      <t>タ</t>
    </rPh>
    <phoneticPr fontId="1"/>
  </si>
  <si>
    <t>人員配置の問題</t>
    <rPh sb="0" eb="4">
      <t>ジンインハイチ</t>
    </rPh>
    <rPh sb="5" eb="7">
      <t>モンダイ</t>
    </rPh>
    <phoneticPr fontId="1"/>
  </si>
  <si>
    <t>経費負担ができない</t>
    <rPh sb="0" eb="4">
      <t>ケイヒフタン</t>
    </rPh>
    <phoneticPr fontId="1"/>
  </si>
  <si>
    <t>希望者がいない</t>
    <rPh sb="0" eb="3">
      <t>キボウシャ</t>
    </rPh>
    <phoneticPr fontId="1"/>
  </si>
  <si>
    <t>院内活用ができない</t>
    <rPh sb="0" eb="4">
      <t>インナイカツヨウ</t>
    </rPh>
    <phoneticPr fontId="1"/>
  </si>
  <si>
    <t>必要性がない</t>
    <rPh sb="0" eb="3">
      <t>ヒツヨウセイ</t>
    </rPh>
    <phoneticPr fontId="1"/>
  </si>
  <si>
    <t>記入年月日</t>
    <rPh sb="0" eb="2">
      <t>キニュウ</t>
    </rPh>
    <rPh sb="2" eb="5">
      <t>ネンガッピ</t>
    </rPh>
    <phoneticPr fontId="1"/>
  </si>
  <si>
    <t>合計</t>
    <rPh sb="0" eb="2">
      <t>ゴウケイ</t>
    </rPh>
    <phoneticPr fontId="1"/>
  </si>
  <si>
    <t>常勤換算</t>
    <rPh sb="0" eb="4">
      <t>ジョウキンカンサン</t>
    </rPh>
    <phoneticPr fontId="1"/>
  </si>
  <si>
    <t>看護職員</t>
    <rPh sb="0" eb="4">
      <t>カンゴショクイン</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</si>
  <si>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</si>
  <si>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</si>
  <si>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</si>
  <si>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</si>
  <si>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</si>
  <si>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退職年齢</t>
    <rPh sb="0" eb="4">
      <t>タイショクネンレイ</t>
    </rPh>
    <phoneticPr fontId="1"/>
  </si>
  <si>
    <t>精神</t>
    <rPh sb="0" eb="2">
      <t>セイシン</t>
    </rPh>
    <phoneticPr fontId="1"/>
  </si>
  <si>
    <t>退職理由</t>
    <rPh sb="0" eb="4">
      <t>タイショクリユウ</t>
    </rPh>
    <phoneticPr fontId="1"/>
  </si>
  <si>
    <t>救急</t>
    <rPh sb="0" eb="2">
      <t>キュウキュウ</t>
    </rPh>
    <phoneticPr fontId="1"/>
  </si>
  <si>
    <t>集中</t>
    <rPh sb="0" eb="2">
      <t>シュウチュウ</t>
    </rPh>
    <phoneticPr fontId="1"/>
  </si>
  <si>
    <t>皮膚</t>
    <rPh sb="0" eb="2">
      <t>ヒフ</t>
    </rPh>
    <phoneticPr fontId="1"/>
  </si>
  <si>
    <t>緩和</t>
    <rPh sb="0" eb="2">
      <t>カンワ</t>
    </rPh>
    <phoneticPr fontId="1"/>
  </si>
  <si>
    <t>疼痛</t>
    <rPh sb="0" eb="2">
      <t>トウツウ</t>
    </rPh>
    <phoneticPr fontId="1"/>
  </si>
  <si>
    <t>化学</t>
    <rPh sb="0" eb="2">
      <t>カガク</t>
    </rPh>
    <phoneticPr fontId="1"/>
  </si>
  <si>
    <t>訪看</t>
    <rPh sb="0" eb="2">
      <t>ホウカン</t>
    </rPh>
    <phoneticPr fontId="1"/>
  </si>
  <si>
    <t>感染</t>
    <rPh sb="0" eb="2">
      <t>カンセン</t>
    </rPh>
    <phoneticPr fontId="1"/>
  </si>
  <si>
    <t>糖尿</t>
    <rPh sb="0" eb="2">
      <t>トウニョウ</t>
    </rPh>
    <phoneticPr fontId="1"/>
  </si>
  <si>
    <t>不妊</t>
    <rPh sb="0" eb="2">
      <t>フニン</t>
    </rPh>
    <phoneticPr fontId="1"/>
  </si>
  <si>
    <t>新生児</t>
    <rPh sb="0" eb="3">
      <t>シンセイジ</t>
    </rPh>
    <phoneticPr fontId="1"/>
  </si>
  <si>
    <t>透析</t>
    <rPh sb="0" eb="2">
      <t>トウセキ</t>
    </rPh>
    <phoneticPr fontId="1"/>
  </si>
  <si>
    <t>手術</t>
    <rPh sb="0" eb="2">
      <t>シュジュツ</t>
    </rPh>
    <phoneticPr fontId="1"/>
  </si>
  <si>
    <t>乳がん</t>
    <rPh sb="0" eb="1">
      <t>ニュウ</t>
    </rPh>
    <phoneticPr fontId="1"/>
  </si>
  <si>
    <t>摂食</t>
    <rPh sb="0" eb="2">
      <t>セッショク</t>
    </rPh>
    <phoneticPr fontId="1"/>
  </si>
  <si>
    <t>小児</t>
    <rPh sb="0" eb="2">
      <t>ショウニ</t>
    </rPh>
    <phoneticPr fontId="1"/>
  </si>
  <si>
    <t>認知症</t>
    <rPh sb="0" eb="3">
      <t>ニンチショウ</t>
    </rPh>
    <phoneticPr fontId="1"/>
  </si>
  <si>
    <t>脳卒中</t>
    <rPh sb="0" eb="3">
      <t>ノウソッチュウ</t>
    </rPh>
    <phoneticPr fontId="1"/>
  </si>
  <si>
    <t>放射線</t>
    <rPh sb="0" eb="3">
      <t>ホウシャセン</t>
    </rPh>
    <phoneticPr fontId="1"/>
  </si>
  <si>
    <t>呼吸器</t>
    <rPh sb="0" eb="3">
      <t>コキュウキ</t>
    </rPh>
    <phoneticPr fontId="1"/>
  </si>
  <si>
    <t>心不全</t>
    <rPh sb="0" eb="3">
      <t>シンフゼン</t>
    </rPh>
    <phoneticPr fontId="1"/>
  </si>
  <si>
    <t>A課程</t>
    <rPh sb="1" eb="3">
      <t>カテイ</t>
    </rPh>
    <phoneticPr fontId="1"/>
  </si>
  <si>
    <t>ｸﾘﾃｨｶﾙ</t>
    <phoneticPr fontId="1"/>
  </si>
  <si>
    <t>薬物</t>
    <rPh sb="0" eb="2">
      <t>ヤクブツ</t>
    </rPh>
    <phoneticPr fontId="1"/>
  </si>
  <si>
    <t>在宅</t>
    <rPh sb="0" eb="2">
      <t>ザイタク</t>
    </rPh>
    <phoneticPr fontId="1"/>
  </si>
  <si>
    <t>生殖</t>
    <rPh sb="0" eb="2">
      <t>セイショク</t>
    </rPh>
    <phoneticPr fontId="1"/>
  </si>
  <si>
    <t>腎不全</t>
    <rPh sb="0" eb="3">
      <t>ジンフゼン</t>
    </rPh>
    <phoneticPr fontId="1"/>
  </si>
  <si>
    <t>B課程</t>
    <rPh sb="1" eb="3">
      <t>カテイ</t>
    </rPh>
    <phoneticPr fontId="1"/>
  </si>
  <si>
    <t>気道</t>
    <rPh sb="0" eb="2">
      <t>キドウ</t>
    </rPh>
    <phoneticPr fontId="1"/>
  </si>
  <si>
    <t>人工呼吸</t>
    <rPh sb="0" eb="2">
      <t>ジンコウ</t>
    </rPh>
    <rPh sb="2" eb="4">
      <t>コキュウ</t>
    </rPh>
    <phoneticPr fontId="1"/>
  </si>
  <si>
    <t>長期呼吸</t>
    <rPh sb="0" eb="4">
      <t>チョウキコキュウ</t>
    </rPh>
    <phoneticPr fontId="1"/>
  </si>
  <si>
    <t>循環器</t>
    <rPh sb="0" eb="3">
      <t>ジュンカンキ</t>
    </rPh>
    <phoneticPr fontId="1"/>
  </si>
  <si>
    <t>心嚢</t>
    <rPh sb="0" eb="1">
      <t>シン</t>
    </rPh>
    <rPh sb="1" eb="2">
      <t>ノウ</t>
    </rPh>
    <phoneticPr fontId="1"/>
  </si>
  <si>
    <t>胸腔</t>
    <rPh sb="0" eb="2">
      <t>キョウクウ</t>
    </rPh>
    <phoneticPr fontId="1"/>
  </si>
  <si>
    <t>腹腔</t>
    <rPh sb="0" eb="1">
      <t>フク</t>
    </rPh>
    <rPh sb="1" eb="2">
      <t>クウ</t>
    </rPh>
    <phoneticPr fontId="1"/>
  </si>
  <si>
    <t>ろう孔</t>
    <rPh sb="2" eb="3">
      <t>コウ</t>
    </rPh>
    <phoneticPr fontId="1"/>
  </si>
  <si>
    <t>中心静脈</t>
    <rPh sb="0" eb="2">
      <t>チュウシン</t>
    </rPh>
    <rPh sb="2" eb="4">
      <t>ジョウミャク</t>
    </rPh>
    <phoneticPr fontId="1"/>
  </si>
  <si>
    <t>末梢留置</t>
    <rPh sb="0" eb="4">
      <t>マッショウリュウチ</t>
    </rPh>
    <phoneticPr fontId="1"/>
  </si>
  <si>
    <t>創傷管理</t>
    <rPh sb="0" eb="4">
      <t>ソウショウカンリ</t>
    </rPh>
    <phoneticPr fontId="1"/>
  </si>
  <si>
    <t>創部</t>
    <rPh sb="0" eb="2">
      <t>ソウブ</t>
    </rPh>
    <phoneticPr fontId="1"/>
  </si>
  <si>
    <t>血ガス</t>
    <rPh sb="0" eb="1">
      <t>ケツ</t>
    </rPh>
    <phoneticPr fontId="1"/>
  </si>
  <si>
    <t>栄養</t>
    <rPh sb="0" eb="2">
      <t>エイヨウ</t>
    </rPh>
    <phoneticPr fontId="1"/>
  </si>
  <si>
    <t>血糖</t>
    <rPh sb="0" eb="2">
      <t>ケットウ</t>
    </rPh>
    <phoneticPr fontId="1"/>
  </si>
  <si>
    <t>術後疼痛</t>
    <rPh sb="0" eb="2">
      <t>ジュツゴ</t>
    </rPh>
    <rPh sb="2" eb="4">
      <t>トウツウ</t>
    </rPh>
    <phoneticPr fontId="1"/>
  </si>
  <si>
    <t>循環動態</t>
    <rPh sb="0" eb="4">
      <t>ジュンカンドウタイ</t>
    </rPh>
    <phoneticPr fontId="1"/>
  </si>
  <si>
    <t>皮膚損傷</t>
    <rPh sb="0" eb="2">
      <t>ヒフ</t>
    </rPh>
    <rPh sb="2" eb="4">
      <t>ソンショウ</t>
    </rPh>
    <phoneticPr fontId="1"/>
  </si>
  <si>
    <t>勤務時間／週</t>
    <rPh sb="0" eb="2">
      <t>キンム</t>
    </rPh>
    <rPh sb="2" eb="4">
      <t>ジカン</t>
    </rPh>
    <rPh sb="5" eb="6">
      <t>シュウ</t>
    </rPh>
    <phoneticPr fontId="12"/>
  </si>
  <si>
    <t>人数</t>
    <rPh sb="0" eb="2">
      <t>ニンズウ</t>
    </rPh>
    <phoneticPr fontId="12"/>
  </si>
  <si>
    <t>常勤
換算値</t>
    <rPh sb="0" eb="2">
      <t>ジョウキン</t>
    </rPh>
    <rPh sb="3" eb="5">
      <t>カンサン</t>
    </rPh>
    <rPh sb="5" eb="6">
      <t>チ</t>
    </rPh>
    <phoneticPr fontId="12"/>
  </si>
  <si>
    <t>計</t>
    <rPh sb="0" eb="1">
      <t>ケイ</t>
    </rPh>
    <phoneticPr fontId="12"/>
  </si>
  <si>
    <t>正規雇用</t>
    <rPh sb="0" eb="4">
      <t>セイキコヨウ</t>
    </rPh>
    <phoneticPr fontId="1"/>
  </si>
  <si>
    <t>うち自己都合</t>
    <rPh sb="2" eb="6">
      <t>ジコツゴウ</t>
    </rPh>
    <phoneticPr fontId="1"/>
  </si>
  <si>
    <t>退職人数</t>
    <rPh sb="0" eb="2">
      <t>タイショク</t>
    </rPh>
    <rPh sb="2" eb="4">
      <t>ニンズウ</t>
    </rPh>
    <phoneticPr fontId="1"/>
  </si>
  <si>
    <t>退職時勤務年数</t>
    <rPh sb="0" eb="2">
      <t>タイショク</t>
    </rPh>
    <rPh sb="2" eb="3">
      <t>ジ</t>
    </rPh>
    <rPh sb="3" eb="5">
      <t>キンム</t>
    </rPh>
    <rPh sb="5" eb="7">
      <t>ネンスウ</t>
    </rPh>
    <phoneticPr fontId="1"/>
  </si>
  <si>
    <t>～1年</t>
    <rPh sb="2" eb="3">
      <t>ネン</t>
    </rPh>
    <phoneticPr fontId="1"/>
  </si>
  <si>
    <t>1～5年</t>
    <rPh sb="3" eb="4">
      <t>ネン</t>
    </rPh>
    <phoneticPr fontId="1"/>
  </si>
  <si>
    <t>6～10年</t>
    <rPh sb="4" eb="5">
      <t>ネン</t>
    </rPh>
    <phoneticPr fontId="1"/>
  </si>
  <si>
    <t>11～15年</t>
    <rPh sb="5" eb="6">
      <t>ネン</t>
    </rPh>
    <phoneticPr fontId="1"/>
  </si>
  <si>
    <t>21年～</t>
    <rPh sb="2" eb="3">
      <t>ネン</t>
    </rPh>
    <phoneticPr fontId="1"/>
  </si>
  <si>
    <t>非正規雇用</t>
    <rPh sb="0" eb="1">
      <t>ヒ</t>
    </rPh>
    <rPh sb="1" eb="5">
      <t>セイキコヨウ</t>
    </rPh>
    <phoneticPr fontId="1"/>
  </si>
  <si>
    <t>派遣していない</t>
    <rPh sb="0" eb="2">
      <t>ハケン</t>
    </rPh>
    <phoneticPr fontId="1"/>
  </si>
  <si>
    <t>看護補助者</t>
    <rPh sb="0" eb="2">
      <t>カンゴ</t>
    </rPh>
    <rPh sb="2" eb="5">
      <t>ホジョシャ</t>
    </rPh>
    <phoneticPr fontId="1"/>
  </si>
  <si>
    <t>正規・非正規合計</t>
    <rPh sb="0" eb="2">
      <t>セイキ</t>
    </rPh>
    <rPh sb="3" eb="4">
      <t>ヒ</t>
    </rPh>
    <rPh sb="4" eb="6">
      <t>セイキ</t>
    </rPh>
    <rPh sb="6" eb="8">
      <t>ゴウケイ</t>
    </rPh>
    <phoneticPr fontId="1"/>
  </si>
  <si>
    <t>職種</t>
    <rPh sb="0" eb="2">
      <t>ショクシュ</t>
    </rPh>
    <phoneticPr fontId="12"/>
  </si>
  <si>
    <t>看護師</t>
    <rPh sb="0" eb="3">
      <t>カンゴシ</t>
    </rPh>
    <phoneticPr fontId="12"/>
  </si>
  <si>
    <t>保健師</t>
    <rPh sb="0" eb="3">
      <t>ホケンシ</t>
    </rPh>
    <phoneticPr fontId="12"/>
  </si>
  <si>
    <t>助産師</t>
    <rPh sb="0" eb="3">
      <t>ジョサンシ</t>
    </rPh>
    <phoneticPr fontId="12"/>
  </si>
  <si>
    <t>准看護師</t>
    <rPh sb="0" eb="4">
      <t>ジュンカンゴシ</t>
    </rPh>
    <phoneticPr fontId="12"/>
  </si>
  <si>
    <t>常勤換算計算表</t>
    <rPh sb="0" eb="4">
      <t>ジョウキンカンサン</t>
    </rPh>
    <rPh sb="4" eb="7">
      <t>ケイサンヒョウ</t>
    </rPh>
    <phoneticPr fontId="1"/>
  </si>
  <si>
    <t>病院が定める
常勤時間／週</t>
    <rPh sb="0" eb="2">
      <t>ビョウイン</t>
    </rPh>
    <rPh sb="3" eb="4">
      <t>サダ</t>
    </rPh>
    <rPh sb="7" eb="9">
      <t>ジョウキン</t>
    </rPh>
    <rPh sb="9" eb="11">
      <t>ジカン</t>
    </rPh>
    <rPh sb="12" eb="13">
      <t>シュウ</t>
    </rPh>
    <phoneticPr fontId="12"/>
  </si>
  <si>
    <t>勤務形態</t>
    <rPh sb="0" eb="2">
      <t>キンム</t>
    </rPh>
    <rPh sb="2" eb="4">
      <t>ケイタイ</t>
    </rPh>
    <phoneticPr fontId="12"/>
  </si>
  <si>
    <r>
      <t xml:space="preserve">非常勤
</t>
    </r>
    <r>
      <rPr>
        <sz val="10"/>
        <rFont val="ＭＳ ゴシック"/>
        <family val="3"/>
        <charset val="128"/>
      </rPr>
      <t>（短時間勤務）</t>
    </r>
    <rPh sb="0" eb="3">
      <t>ヒジョウキン</t>
    </rPh>
    <rPh sb="5" eb="8">
      <t>タンジカン</t>
    </rPh>
    <rPh sb="8" eb="10">
      <t>キンム</t>
    </rPh>
    <phoneticPr fontId="12"/>
  </si>
  <si>
    <r>
      <t xml:space="preserve">常勤
</t>
    </r>
    <r>
      <rPr>
        <sz val="10"/>
        <rFont val="ＭＳ ゴシック"/>
        <family val="3"/>
        <charset val="128"/>
      </rPr>
      <t>（フルタイム）</t>
    </r>
    <rPh sb="0" eb="2">
      <t>ジョウキン</t>
    </rPh>
    <phoneticPr fontId="12"/>
  </si>
  <si>
    <t>医療事故や責任の重さへの不安</t>
    <rPh sb="0" eb="4">
      <t>イリョウジコ</t>
    </rPh>
    <rPh sb="5" eb="7">
      <t>セキニン</t>
    </rPh>
    <rPh sb="8" eb="9">
      <t>オモ</t>
    </rPh>
    <rPh sb="12" eb="14">
      <t>フアン</t>
    </rPh>
    <phoneticPr fontId="1"/>
  </si>
  <si>
    <t>提出先</t>
    <rPh sb="0" eb="3">
      <t>テイシュツサキ</t>
    </rPh>
    <phoneticPr fontId="1"/>
  </si>
  <si>
    <t>送付先</t>
    <rPh sb="0" eb="3">
      <t>ソウフサキ</t>
    </rPh>
    <phoneticPr fontId="1"/>
  </si>
  <si>
    <t>山口県健康福祉部　医療政策課　看護指導班　</t>
    <rPh sb="0" eb="3">
      <t>ヤマグチケン</t>
    </rPh>
    <rPh sb="3" eb="8">
      <t>ケンコウフクシブ</t>
    </rPh>
    <rPh sb="9" eb="14">
      <t>イリョウセイサクカ</t>
    </rPh>
    <rPh sb="15" eb="20">
      <t>カンゴシドウハン</t>
    </rPh>
    <phoneticPr fontId="1"/>
  </si>
  <si>
    <t>回答期限</t>
    <rPh sb="0" eb="2">
      <t>カイトウ</t>
    </rPh>
    <rPh sb="2" eb="4">
      <t>キゲン</t>
    </rPh>
    <phoneticPr fontId="1"/>
  </si>
  <si>
    <t>a11700@pref.yamaguchi.lg.jp</t>
    <phoneticPr fontId="1"/>
  </si>
  <si>
    <t>問１　施設基本情報</t>
    <rPh sb="0" eb="1">
      <t>トイ</t>
    </rPh>
    <rPh sb="3" eb="5">
      <t>シセツ</t>
    </rPh>
    <rPh sb="5" eb="9">
      <t>キホンジョウホウ</t>
    </rPh>
    <phoneticPr fontId="1"/>
  </si>
  <si>
    <t>看護行政施策の基礎資料とするため、次の調査にご協力ください。</t>
    <rPh sb="0" eb="2">
      <t>カンゴ</t>
    </rPh>
    <rPh sb="2" eb="4">
      <t>ギョウセイ</t>
    </rPh>
    <rPh sb="4" eb="6">
      <t>シサク</t>
    </rPh>
    <rPh sb="7" eb="11">
      <t>キソシリョウ</t>
    </rPh>
    <rPh sb="17" eb="18">
      <t>ツギ</t>
    </rPh>
    <rPh sb="19" eb="21">
      <t>チョウサ</t>
    </rPh>
    <rPh sb="23" eb="25">
      <t>キョウリョク</t>
    </rPh>
    <phoneticPr fontId="1"/>
  </si>
  <si>
    <t>希望があれば派遣する</t>
    <rPh sb="0" eb="2">
      <t>キボウ</t>
    </rPh>
    <rPh sb="6" eb="8">
      <t>ハケン</t>
    </rPh>
    <phoneticPr fontId="1"/>
  </si>
  <si>
    <t>職員を計画的に派遣している</t>
    <rPh sb="0" eb="2">
      <t>ショクイン</t>
    </rPh>
    <rPh sb="3" eb="5">
      <t>ケイカク</t>
    </rPh>
    <rPh sb="5" eb="6">
      <t>テキ</t>
    </rPh>
    <rPh sb="7" eb="9">
      <t>ハケン</t>
    </rPh>
    <phoneticPr fontId="1"/>
  </si>
  <si>
    <t>職員を計画的に派遣している</t>
    <rPh sb="0" eb="2">
      <t>ショクイン</t>
    </rPh>
    <rPh sb="3" eb="6">
      <t>ケイカクテキ</t>
    </rPh>
    <rPh sb="7" eb="9">
      <t>ハケン</t>
    </rPh>
    <phoneticPr fontId="1"/>
  </si>
  <si>
    <t>看護師のスキルアップ</t>
    <rPh sb="0" eb="3">
      <t>カンゴシ</t>
    </rPh>
    <phoneticPr fontId="1"/>
  </si>
  <si>
    <t>看護の質向上</t>
    <rPh sb="0" eb="2">
      <t>カンゴ</t>
    </rPh>
    <rPh sb="3" eb="6">
      <t>シツコウジョウ</t>
    </rPh>
    <phoneticPr fontId="1"/>
  </si>
  <si>
    <t>医師と看護師の協働の推進</t>
    <rPh sb="0" eb="2">
      <t>イシ</t>
    </rPh>
    <rPh sb="3" eb="6">
      <t>カンゴシ</t>
    </rPh>
    <rPh sb="7" eb="9">
      <t>キョウドウ</t>
    </rPh>
    <rPh sb="10" eb="12">
      <t>スイシン</t>
    </rPh>
    <phoneticPr fontId="1"/>
  </si>
  <si>
    <t>医師の業務負担の軽減（タスクシフト）</t>
    <rPh sb="0" eb="2">
      <t>イシ</t>
    </rPh>
    <rPh sb="3" eb="7">
      <t>ギョウムフタン</t>
    </rPh>
    <rPh sb="8" eb="10">
      <t>ケイゲン</t>
    </rPh>
    <phoneticPr fontId="1"/>
  </si>
  <si>
    <t>その他　（　　　　　　　　　　　　　　　　　　</t>
    <rPh sb="2" eb="3">
      <t>タ</t>
    </rPh>
    <phoneticPr fontId="1"/>
  </si>
  <si>
    <t>（４）認定看護師の資格取得に対して、職員の研修等への派遣状況を教えてください。</t>
    <rPh sb="3" eb="5">
      <t>ニンテイ</t>
    </rPh>
    <rPh sb="5" eb="8">
      <t>カンゴシ</t>
    </rPh>
    <rPh sb="9" eb="11">
      <t>シカク</t>
    </rPh>
    <rPh sb="11" eb="13">
      <t>シュトク</t>
    </rPh>
    <rPh sb="14" eb="15">
      <t>タイ</t>
    </rPh>
    <rPh sb="18" eb="20">
      <t>ショクイン</t>
    </rPh>
    <rPh sb="21" eb="24">
      <t>ケンシュウナド</t>
    </rPh>
    <rPh sb="26" eb="28">
      <t>ハケン</t>
    </rPh>
    <rPh sb="28" eb="30">
      <t>ジョウキョウ</t>
    </rPh>
    <rPh sb="31" eb="32">
      <t>オシ</t>
    </rPh>
    <phoneticPr fontId="1"/>
  </si>
  <si>
    <t>（３） （１）で認定看護師が１人以上いる場合、貴施設における認定看護師の活動内容を教えてください。（※ 複数回答可）</t>
    <rPh sb="8" eb="10">
      <t>ニンテイ</t>
    </rPh>
    <rPh sb="10" eb="13">
      <t>カンゴシ</t>
    </rPh>
    <rPh sb="15" eb="16">
      <t>ニン</t>
    </rPh>
    <rPh sb="16" eb="18">
      <t>イジョウ</t>
    </rPh>
    <rPh sb="20" eb="22">
      <t>バアイ</t>
    </rPh>
    <rPh sb="23" eb="26">
      <t>キシセツ</t>
    </rPh>
    <rPh sb="30" eb="35">
      <t>ニンテイカンゴシ</t>
    </rPh>
    <rPh sb="36" eb="38">
      <t>カツドウ</t>
    </rPh>
    <rPh sb="38" eb="40">
      <t>ナイヨウ</t>
    </rPh>
    <rPh sb="41" eb="42">
      <t>オシ</t>
    </rPh>
    <rPh sb="52" eb="57">
      <t>フクスウカイトウカ</t>
    </rPh>
    <phoneticPr fontId="1"/>
  </si>
  <si>
    <t>（４）特定行為研修修了看護師の資格取得に対して、職員の研修等への派遣状況を教えてください。</t>
    <rPh sb="3" eb="7">
      <t>トクテイコウイ</t>
    </rPh>
    <rPh sb="7" eb="9">
      <t>ケンシュウ</t>
    </rPh>
    <rPh sb="9" eb="11">
      <t>シュウリョウ</t>
    </rPh>
    <rPh sb="11" eb="14">
      <t>カンゴシ</t>
    </rPh>
    <phoneticPr fontId="1"/>
  </si>
  <si>
    <t>看護師の負担が増大する</t>
    <rPh sb="0" eb="3">
      <t>カンゴシ</t>
    </rPh>
    <rPh sb="4" eb="6">
      <t>フタン</t>
    </rPh>
    <rPh sb="7" eb="9">
      <t>ゾウダイ</t>
    </rPh>
    <phoneticPr fontId="1"/>
  </si>
  <si>
    <t>効果があると思わない</t>
    <rPh sb="0" eb="2">
      <t>コウカ</t>
    </rPh>
    <rPh sb="6" eb="7">
      <t>オモ</t>
    </rPh>
    <phoneticPr fontId="1"/>
  </si>
  <si>
    <t>ある</t>
    <phoneticPr fontId="1"/>
  </si>
  <si>
    <t>ない</t>
    <phoneticPr fontId="1"/>
  </si>
  <si>
    <t>院内研修・研修プログラムの担当、指導</t>
    <rPh sb="0" eb="4">
      <t>インナイケンシュウ</t>
    </rPh>
    <rPh sb="5" eb="7">
      <t>ケンシュウ</t>
    </rPh>
    <rPh sb="13" eb="15">
      <t>タントウ</t>
    </rPh>
    <rPh sb="16" eb="18">
      <t>シドウ</t>
    </rPh>
    <phoneticPr fontId="1"/>
  </si>
  <si>
    <t>学会や自治体、看護協会等における委員会活動等</t>
    <rPh sb="0" eb="2">
      <t>ガッカイ</t>
    </rPh>
    <rPh sb="3" eb="6">
      <t>ジチタイ</t>
    </rPh>
    <rPh sb="7" eb="12">
      <t>カンゴキョウカイトウ</t>
    </rPh>
    <rPh sb="16" eb="21">
      <t>イインカイカツドウ</t>
    </rPh>
    <rPh sb="21" eb="22">
      <t>トウ</t>
    </rPh>
    <phoneticPr fontId="1"/>
  </si>
  <si>
    <t>看護研究（共同研究、指導・助言含む）</t>
    <rPh sb="0" eb="4">
      <t>カンゴケンキュウ</t>
    </rPh>
    <rPh sb="5" eb="9">
      <t>キョウドウケンキュウ</t>
    </rPh>
    <rPh sb="10" eb="12">
      <t>シドウ</t>
    </rPh>
    <rPh sb="13" eb="15">
      <t>ジョゲン</t>
    </rPh>
    <rPh sb="15" eb="16">
      <t>フク</t>
    </rPh>
    <phoneticPr fontId="1"/>
  </si>
  <si>
    <t>一般住民への指導、社会活動等</t>
    <rPh sb="0" eb="4">
      <t>イッパンジュウミン</t>
    </rPh>
    <rPh sb="6" eb="8">
      <t>シドウ</t>
    </rPh>
    <rPh sb="9" eb="14">
      <t>シャカイカツドウトウ</t>
    </rPh>
    <phoneticPr fontId="1"/>
  </si>
  <si>
    <t>所属施設外の職員への指導</t>
    <rPh sb="0" eb="5">
      <t>ショゾクシセツガイ</t>
    </rPh>
    <rPh sb="6" eb="8">
      <t>ショクイン</t>
    </rPh>
    <rPh sb="10" eb="12">
      <t>シドウ</t>
    </rPh>
    <phoneticPr fontId="1"/>
  </si>
  <si>
    <t>院内職員への指導・相談</t>
    <rPh sb="0" eb="2">
      <t>インナイ</t>
    </rPh>
    <rPh sb="2" eb="4">
      <t>ショクイン</t>
    </rPh>
    <rPh sb="6" eb="8">
      <t>シドウ</t>
    </rPh>
    <rPh sb="9" eb="11">
      <t>ソウダン</t>
    </rPh>
    <phoneticPr fontId="1"/>
  </si>
  <si>
    <t>人数</t>
    <rPh sb="0" eb="2">
      <t>ニンズウ</t>
    </rPh>
    <phoneticPr fontId="1"/>
  </si>
  <si>
    <t>認定看護師教育としての講義、看護学生講義等</t>
    <rPh sb="0" eb="7">
      <t>ニンテイカンゴシキョウイク</t>
    </rPh>
    <rPh sb="11" eb="13">
      <t>コウギ</t>
    </rPh>
    <rPh sb="14" eb="21">
      <t>カンゴガクセイコウギトウ</t>
    </rPh>
    <phoneticPr fontId="1"/>
  </si>
  <si>
    <t>認定者数</t>
    <rPh sb="0" eb="4">
      <t>ニンテイシャスウ</t>
    </rPh>
    <phoneticPr fontId="1"/>
  </si>
  <si>
    <t>精神</t>
    <rPh sb="0" eb="2">
      <t>セイシン</t>
    </rPh>
    <phoneticPr fontId="1"/>
  </si>
  <si>
    <t>１　認定看護師</t>
    <rPh sb="2" eb="7">
      <t>ニンテイカンゴシ</t>
    </rPh>
    <phoneticPr fontId="1"/>
  </si>
  <si>
    <t>（１）</t>
    <phoneticPr fontId="1"/>
  </si>
  <si>
    <t>（２）</t>
    <phoneticPr fontId="1"/>
  </si>
  <si>
    <t>院内指導</t>
    <rPh sb="0" eb="2">
      <t>インナイ</t>
    </rPh>
    <rPh sb="2" eb="4">
      <t>シドウ</t>
    </rPh>
    <phoneticPr fontId="1"/>
  </si>
  <si>
    <t>院内研修</t>
    <rPh sb="0" eb="4">
      <t>インナイケンシュウ</t>
    </rPh>
    <phoneticPr fontId="1"/>
  </si>
  <si>
    <t>研究</t>
    <rPh sb="0" eb="2">
      <t>ケンキュウ</t>
    </rPh>
    <phoneticPr fontId="1"/>
  </si>
  <si>
    <t>院外指導</t>
    <rPh sb="0" eb="4">
      <t>インガイシドウ</t>
    </rPh>
    <phoneticPr fontId="1"/>
  </si>
  <si>
    <t>学生指導</t>
    <rPh sb="0" eb="4">
      <t>ガクセイシドウ</t>
    </rPh>
    <phoneticPr fontId="1"/>
  </si>
  <si>
    <t>委員会</t>
    <rPh sb="0" eb="3">
      <t>イインカイ</t>
    </rPh>
    <phoneticPr fontId="1"/>
  </si>
  <si>
    <t>一般住民</t>
    <rPh sb="0" eb="4">
      <t>イッパンジュウミン</t>
    </rPh>
    <phoneticPr fontId="1"/>
  </si>
  <si>
    <t>その他</t>
    <rPh sb="2" eb="3">
      <t>タ</t>
    </rPh>
    <phoneticPr fontId="1"/>
  </si>
  <si>
    <t>（３）</t>
    <phoneticPr fontId="1"/>
  </si>
  <si>
    <t>計画的派遣</t>
    <rPh sb="0" eb="3">
      <t>ケイカクテキ</t>
    </rPh>
    <rPh sb="3" eb="5">
      <t>ハケン</t>
    </rPh>
    <phoneticPr fontId="1"/>
  </si>
  <si>
    <t>希望</t>
    <rPh sb="0" eb="2">
      <t>キボウ</t>
    </rPh>
    <phoneticPr fontId="1"/>
  </si>
  <si>
    <t>派遣なし</t>
    <rPh sb="0" eb="2">
      <t>ハケン</t>
    </rPh>
    <phoneticPr fontId="1"/>
  </si>
  <si>
    <t>（４）</t>
    <phoneticPr fontId="1"/>
  </si>
  <si>
    <t>（５）</t>
    <phoneticPr fontId="1"/>
  </si>
  <si>
    <t>派遣計画</t>
    <rPh sb="0" eb="4">
      <t>ハケンケイカク</t>
    </rPh>
    <phoneticPr fontId="1"/>
  </si>
  <si>
    <t>（６）</t>
    <phoneticPr fontId="1"/>
  </si>
  <si>
    <t>人員配置</t>
    <rPh sb="0" eb="4">
      <t>ジンインハイチ</t>
    </rPh>
    <phoneticPr fontId="1"/>
  </si>
  <si>
    <t>経費</t>
    <rPh sb="0" eb="2">
      <t>ケイヒ</t>
    </rPh>
    <phoneticPr fontId="1"/>
  </si>
  <si>
    <t>希望なし</t>
    <rPh sb="0" eb="2">
      <t>キボウ</t>
    </rPh>
    <phoneticPr fontId="1"/>
  </si>
  <si>
    <t>活用できない</t>
    <rPh sb="0" eb="2">
      <t>カツヨウ</t>
    </rPh>
    <phoneticPr fontId="1"/>
  </si>
  <si>
    <t>必要性なし</t>
    <rPh sb="0" eb="3">
      <t>ヒツヨウセイ</t>
    </rPh>
    <phoneticPr fontId="1"/>
  </si>
  <si>
    <t>修了者数</t>
    <rPh sb="0" eb="4">
      <t>シュウリョウシャスウ</t>
    </rPh>
    <phoneticPr fontId="1"/>
  </si>
  <si>
    <t>２　特定行為</t>
    <rPh sb="2" eb="6">
      <t>トクテイコウイ</t>
    </rPh>
    <phoneticPr fontId="1"/>
  </si>
  <si>
    <t>人数</t>
    <rPh sb="0" eb="2">
      <t>ニンズウ</t>
    </rPh>
    <phoneticPr fontId="1"/>
  </si>
  <si>
    <t>実績</t>
    <rPh sb="0" eb="2">
      <t>ジッセキ</t>
    </rPh>
    <phoneticPr fontId="1"/>
  </si>
  <si>
    <t>スキルアップ</t>
    <phoneticPr fontId="1"/>
  </si>
  <si>
    <t>質向上</t>
    <rPh sb="0" eb="3">
      <t>シツコウジョウ</t>
    </rPh>
    <phoneticPr fontId="1"/>
  </si>
  <si>
    <t>協働</t>
    <rPh sb="0" eb="2">
      <t>キョウドウ</t>
    </rPh>
    <phoneticPr fontId="1"/>
  </si>
  <si>
    <t>タスクシフト</t>
    <phoneticPr fontId="1"/>
  </si>
  <si>
    <t>効果なし</t>
    <rPh sb="0" eb="2">
      <t>コウカ</t>
    </rPh>
    <phoneticPr fontId="1"/>
  </si>
  <si>
    <t>（７）</t>
    <phoneticPr fontId="1"/>
  </si>
  <si>
    <t>ある</t>
    <phoneticPr fontId="1"/>
  </si>
  <si>
    <t>ない</t>
    <phoneticPr fontId="1"/>
  </si>
  <si>
    <t>（８）</t>
    <phoneticPr fontId="1"/>
  </si>
  <si>
    <t>（７） 貴施設は、特定行為研修の研修機関指定を受けていますか。</t>
    <rPh sb="4" eb="7">
      <t>キシセツ</t>
    </rPh>
    <rPh sb="9" eb="15">
      <t>トクテイコウイケンシュウ</t>
    </rPh>
    <rPh sb="16" eb="18">
      <t>ケンシュウ</t>
    </rPh>
    <rPh sb="18" eb="20">
      <t>キカン</t>
    </rPh>
    <rPh sb="20" eb="22">
      <t>シテイ</t>
    </rPh>
    <rPh sb="23" eb="24">
      <t>ウ</t>
    </rPh>
    <phoneticPr fontId="1"/>
  </si>
  <si>
    <t>指定を受けている</t>
    <rPh sb="0" eb="2">
      <t>シテイ</t>
    </rPh>
    <rPh sb="3" eb="4">
      <t>ウ</t>
    </rPh>
    <phoneticPr fontId="1"/>
  </si>
  <si>
    <t>指定を受けていない</t>
    <rPh sb="0" eb="2">
      <t>シテイ</t>
    </rPh>
    <rPh sb="3" eb="4">
      <t>ウ</t>
    </rPh>
    <phoneticPr fontId="1"/>
  </si>
  <si>
    <t xml:space="preserve">（８）（７）で「指定を受けていない」と回答した場合、今後5年以内に指定を受ける予定がありますか。 </t>
    <rPh sb="8" eb="10">
      <t>シテイ</t>
    </rPh>
    <rPh sb="11" eb="12">
      <t>ウ</t>
    </rPh>
    <rPh sb="19" eb="21">
      <t>カイトウ</t>
    </rPh>
    <rPh sb="23" eb="25">
      <t>バアイ</t>
    </rPh>
    <rPh sb="26" eb="28">
      <t>コンゴ</t>
    </rPh>
    <rPh sb="29" eb="32">
      <t>ネンイナイ</t>
    </rPh>
    <rPh sb="33" eb="35">
      <t>シテイ</t>
    </rPh>
    <rPh sb="36" eb="37">
      <t>ウ</t>
    </rPh>
    <rPh sb="39" eb="41">
      <t>ヨテイ</t>
    </rPh>
    <phoneticPr fontId="1"/>
  </si>
  <si>
    <t>指定あり</t>
    <rPh sb="0" eb="2">
      <t>シテイ</t>
    </rPh>
    <phoneticPr fontId="1"/>
  </si>
  <si>
    <t>指定なし</t>
    <rPh sb="0" eb="2">
      <t>シテイ</t>
    </rPh>
    <phoneticPr fontId="1"/>
  </si>
  <si>
    <t>負担増大</t>
    <rPh sb="0" eb="4">
      <t>フタンゾウダイ</t>
    </rPh>
    <phoneticPr fontId="1"/>
  </si>
  <si>
    <t>20代</t>
    <rPh sb="2" eb="3">
      <t>ダイ</t>
    </rPh>
    <phoneticPr fontId="1"/>
  </si>
  <si>
    <t>30代</t>
    <rPh sb="2" eb="3">
      <t>ダイ</t>
    </rPh>
    <phoneticPr fontId="1"/>
  </si>
  <si>
    <t>40代</t>
    <rPh sb="2" eb="3">
      <t>ダイ</t>
    </rPh>
    <phoneticPr fontId="1"/>
  </si>
  <si>
    <t>50代</t>
    <rPh sb="2" eb="3">
      <t>ダイ</t>
    </rPh>
    <phoneticPr fontId="1"/>
  </si>
  <si>
    <t>60歳～</t>
    <rPh sb="2" eb="3">
      <t>サイ</t>
    </rPh>
    <phoneticPr fontId="1"/>
  </si>
  <si>
    <t>新卒</t>
    <rPh sb="0" eb="2">
      <t>シンソツ</t>
    </rPh>
    <phoneticPr fontId="1"/>
  </si>
  <si>
    <t>合計</t>
    <rPh sb="0" eb="2">
      <t>ゴウケイ</t>
    </rPh>
    <phoneticPr fontId="1"/>
  </si>
  <si>
    <t>他職種</t>
    <rPh sb="0" eb="3">
      <t>タショクシュ</t>
    </rPh>
    <phoneticPr fontId="1"/>
  </si>
  <si>
    <t>キャリアアップ</t>
    <phoneticPr fontId="1"/>
  </si>
  <si>
    <t>休暇</t>
    <rPh sb="0" eb="2">
      <t>キュウカ</t>
    </rPh>
    <phoneticPr fontId="1"/>
  </si>
  <si>
    <t>～19歳</t>
    <rPh sb="3" eb="4">
      <t>サイ</t>
    </rPh>
    <phoneticPr fontId="1"/>
  </si>
  <si>
    <t>採用時年齢</t>
    <rPh sb="0" eb="5">
      <t>サイヨウジネンレイ</t>
    </rPh>
    <phoneticPr fontId="1"/>
  </si>
  <si>
    <t>～19歳</t>
    <rPh sb="3" eb="4">
      <t>サイ</t>
    </rPh>
    <phoneticPr fontId="1"/>
  </si>
  <si>
    <t>結婚</t>
    <rPh sb="0" eb="2">
      <t>ケッコン</t>
    </rPh>
    <phoneticPr fontId="1"/>
  </si>
  <si>
    <t>出産・育児</t>
    <rPh sb="0" eb="2">
      <t>シュッサン</t>
    </rPh>
    <rPh sb="3" eb="5">
      <t>イクジ</t>
    </rPh>
    <phoneticPr fontId="1"/>
  </si>
  <si>
    <t>人間関係</t>
    <rPh sb="0" eb="4">
      <t>ニンゲンカンケイ</t>
    </rPh>
    <phoneticPr fontId="1"/>
  </si>
  <si>
    <t>医療事故</t>
    <rPh sb="0" eb="4">
      <t>イリョウジコ</t>
    </rPh>
    <phoneticPr fontId="1"/>
  </si>
  <si>
    <t>うち県外</t>
    <rPh sb="2" eb="4">
      <t>ケンガイ</t>
    </rPh>
    <phoneticPr fontId="1"/>
  </si>
  <si>
    <t>施設基本情報</t>
    <rPh sb="0" eb="6">
      <t>シセツキホンジョウホウ</t>
    </rPh>
    <phoneticPr fontId="1"/>
  </si>
  <si>
    <t>役職</t>
    <rPh sb="0" eb="2">
      <t>ヤクショク</t>
    </rPh>
    <phoneticPr fontId="1"/>
  </si>
  <si>
    <t>e-mail</t>
    <phoneticPr fontId="1"/>
  </si>
  <si>
    <t>TEL</t>
    <phoneticPr fontId="1"/>
  </si>
  <si>
    <t>健康上の理由（身体的）</t>
    <rPh sb="0" eb="3">
      <t>ケンコウジョウ</t>
    </rPh>
    <rPh sb="4" eb="6">
      <t>リユウ</t>
    </rPh>
    <rPh sb="7" eb="10">
      <t>シンタイテキ</t>
    </rPh>
    <phoneticPr fontId="1"/>
  </si>
  <si>
    <t>健康上の理由（精神的）</t>
    <rPh sb="0" eb="3">
      <t>ケンコウジョウ</t>
    </rPh>
    <rPh sb="4" eb="6">
      <t>リユウ</t>
    </rPh>
    <rPh sb="7" eb="10">
      <t>セイシンテキ</t>
    </rPh>
    <phoneticPr fontId="1"/>
  </si>
  <si>
    <t>親族の健康・介護</t>
    <rPh sb="0" eb="2">
      <t>シンゾク</t>
    </rPh>
    <rPh sb="3" eb="5">
      <t>ケンコウ</t>
    </rPh>
    <rPh sb="6" eb="8">
      <t>カイゴ</t>
    </rPh>
    <phoneticPr fontId="1"/>
  </si>
  <si>
    <t>転居</t>
    <rPh sb="0" eb="2">
      <t>テンキョ</t>
    </rPh>
    <phoneticPr fontId="1"/>
  </si>
  <si>
    <t>他の職場（看護職）への興味</t>
    <rPh sb="0" eb="1">
      <t>タ</t>
    </rPh>
    <rPh sb="2" eb="4">
      <t>ショクバ</t>
    </rPh>
    <rPh sb="5" eb="8">
      <t>カンゴショク</t>
    </rPh>
    <rPh sb="11" eb="13">
      <t>キョウミ</t>
    </rPh>
    <phoneticPr fontId="1"/>
  </si>
  <si>
    <t>他職種への興味</t>
    <rPh sb="0" eb="3">
      <t>タショクシュ</t>
    </rPh>
    <rPh sb="5" eb="7">
      <t>キョウミ</t>
    </rPh>
    <phoneticPr fontId="1"/>
  </si>
  <si>
    <t>キャリアアップ目的（進学・資格取得等）</t>
    <rPh sb="7" eb="9">
      <t>モクテキ</t>
    </rPh>
    <rPh sb="10" eb="12">
      <t>シンガク</t>
    </rPh>
    <rPh sb="13" eb="17">
      <t>シカクシュトク</t>
    </rPh>
    <rPh sb="17" eb="18">
      <t>ナド</t>
    </rPh>
    <phoneticPr fontId="1"/>
  </si>
  <si>
    <t>休暇についての不満</t>
    <rPh sb="0" eb="2">
      <t>キュウカ</t>
    </rPh>
    <rPh sb="7" eb="9">
      <t>フマン</t>
    </rPh>
    <phoneticPr fontId="1"/>
  </si>
  <si>
    <t>給与についての不満</t>
    <rPh sb="0" eb="2">
      <t>キュウヨ</t>
    </rPh>
    <rPh sb="7" eb="9">
      <t>フマン</t>
    </rPh>
    <phoneticPr fontId="1"/>
  </si>
  <si>
    <t>超過勤務、夜勤の負担</t>
    <rPh sb="0" eb="4">
      <t>チョウカキンム</t>
    </rPh>
    <rPh sb="5" eb="7">
      <t>ヤキン</t>
    </rPh>
    <rPh sb="8" eb="10">
      <t>フタン</t>
    </rPh>
    <phoneticPr fontId="1"/>
  </si>
  <si>
    <t>人間関係の悩み</t>
    <rPh sb="0" eb="4">
      <t>ニンゲンカンケイ</t>
    </rPh>
    <rPh sb="5" eb="6">
      <t>ナヤ</t>
    </rPh>
    <phoneticPr fontId="1"/>
  </si>
  <si>
    <t>身体的</t>
    <rPh sb="0" eb="3">
      <t>シンタイテキ</t>
    </rPh>
    <phoneticPr fontId="1"/>
  </si>
  <si>
    <t>精神的</t>
    <rPh sb="0" eb="3">
      <t>セイシンテキ</t>
    </rPh>
    <phoneticPr fontId="1"/>
  </si>
  <si>
    <t>親族の健康</t>
    <rPh sb="0" eb="2">
      <t>シンゾク</t>
    </rPh>
    <rPh sb="3" eb="5">
      <t>ケンコウ</t>
    </rPh>
    <phoneticPr fontId="1"/>
  </si>
  <si>
    <t>他の職場</t>
    <rPh sb="0" eb="1">
      <t>タ</t>
    </rPh>
    <rPh sb="2" eb="4">
      <t>ショクバ</t>
    </rPh>
    <phoneticPr fontId="1"/>
  </si>
  <si>
    <t>給与</t>
    <rPh sb="0" eb="2">
      <t>キュウヨ</t>
    </rPh>
    <phoneticPr fontId="1"/>
  </si>
  <si>
    <t>超過勤務</t>
    <rPh sb="0" eb="4">
      <t>チョウカキンム</t>
    </rPh>
    <phoneticPr fontId="1"/>
  </si>
  <si>
    <t>理由</t>
    <rPh sb="0" eb="2">
      <t>リユウ</t>
    </rPh>
    <phoneticPr fontId="1"/>
  </si>
  <si>
    <t>記入者氏名　※</t>
    <rPh sb="0" eb="3">
      <t>キニュウシャ</t>
    </rPh>
    <rPh sb="3" eb="5">
      <t>シメイ</t>
    </rPh>
    <phoneticPr fontId="1"/>
  </si>
  <si>
    <t>合計</t>
    <rPh sb="0" eb="2">
      <t>ゴウケイ</t>
    </rPh>
    <phoneticPr fontId="1"/>
  </si>
  <si>
    <t>理由</t>
    <rPh sb="0" eb="2">
      <t>リユウ</t>
    </rPh>
    <phoneticPr fontId="1"/>
  </si>
  <si>
    <t>内容</t>
    <rPh sb="0" eb="2">
      <t>ナイヨウ</t>
    </rPh>
    <phoneticPr fontId="1"/>
  </si>
  <si>
    <t>記入年月日</t>
    <rPh sb="0" eb="2">
      <t>キニュウ</t>
    </rPh>
    <rPh sb="2" eb="5">
      <t>ネンガッピ</t>
    </rPh>
    <phoneticPr fontId="1"/>
  </si>
  <si>
    <t>記入者氏名</t>
    <rPh sb="0" eb="2">
      <t>キニュウ</t>
    </rPh>
    <rPh sb="2" eb="3">
      <t>シャ</t>
    </rPh>
    <rPh sb="3" eb="5">
      <t>シメイ</t>
    </rPh>
    <phoneticPr fontId="1"/>
  </si>
  <si>
    <t>083－933-2928</t>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</si>
  <si>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</si>
  <si>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</si>
  <si>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</si>
  <si>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事務</t>
    <rPh sb="0" eb="2">
      <t>ジム</t>
    </rPh>
    <phoneticPr fontId="1"/>
  </si>
  <si>
    <t>その他</t>
    <rPh sb="2" eb="3">
      <t>タ</t>
    </rPh>
    <phoneticPr fontId="1"/>
  </si>
  <si>
    <t>計</t>
    <rPh sb="0" eb="1">
      <t>ケイ</t>
    </rPh>
    <phoneticPr fontId="1"/>
  </si>
  <si>
    <t>看護職員以外</t>
    <rPh sb="0" eb="6">
      <t>カンゴショクインイガイ</t>
    </rPh>
    <phoneticPr fontId="1"/>
  </si>
  <si>
    <t>実人員</t>
    <rPh sb="0" eb="3">
      <t>ジツジンイン</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</si>
  <si>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</si>
  <si>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</si>
  <si>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</si>
  <si>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事務</t>
    <rPh sb="0" eb="2">
      <t>ジム</t>
    </rPh>
    <phoneticPr fontId="1"/>
  </si>
  <si>
    <t>その他</t>
    <rPh sb="2" eb="3">
      <t>タ</t>
    </rPh>
    <phoneticPr fontId="1"/>
  </si>
  <si>
    <t>合計</t>
    <rPh sb="0" eb="2">
      <t>ゴウケイ</t>
    </rPh>
    <phoneticPr fontId="1"/>
  </si>
  <si>
    <r>
      <t>※３　「常勤換算値」＝「週あたりの勤務時間数」÷「事業所で定めた週あたりの常勤時間数」
　　　➤必要に応じて、</t>
    </r>
    <r>
      <rPr>
        <u/>
        <sz val="11"/>
        <color theme="1"/>
        <rFont val="ＭＳ Ｐゴシック"/>
        <family val="3"/>
        <charset val="128"/>
      </rPr>
      <t>別シート「常勤換算計算表」</t>
    </r>
    <r>
      <rPr>
        <sz val="11"/>
        <color theme="1"/>
        <rFont val="ＭＳ Ｐゴシック"/>
        <family val="3"/>
        <charset val="128"/>
      </rPr>
      <t>をご活用ください。</t>
    </r>
    <rPh sb="4" eb="9">
      <t>ジョウキンカンサンチ</t>
    </rPh>
    <rPh sb="12" eb="13">
      <t>シュウ</t>
    </rPh>
    <rPh sb="17" eb="22">
      <t>キンムジカンスウ</t>
    </rPh>
    <rPh sb="25" eb="28">
      <t>ジギョウショ</t>
    </rPh>
    <rPh sb="29" eb="30">
      <t>サダ</t>
    </rPh>
    <rPh sb="32" eb="33">
      <t>シュウ</t>
    </rPh>
    <rPh sb="37" eb="39">
      <t>ジョウキン</t>
    </rPh>
    <rPh sb="39" eb="41">
      <t>ジカン</t>
    </rPh>
    <rPh sb="41" eb="42">
      <t>スウ</t>
    </rPh>
    <rPh sb="48" eb="50">
      <t>ヒツヨウ</t>
    </rPh>
    <rPh sb="51" eb="52">
      <t>オウ</t>
    </rPh>
    <rPh sb="55" eb="56">
      <t>ベツ</t>
    </rPh>
    <rPh sb="60" eb="64">
      <t>ジョウキンカンサン</t>
    </rPh>
    <rPh sb="64" eb="67">
      <t>ケイサンヒョウ</t>
    </rPh>
    <rPh sb="70" eb="72">
      <t>カツヨウ</t>
    </rPh>
    <phoneticPr fontId="1"/>
  </si>
  <si>
    <t>大学</t>
    <rPh sb="0" eb="2">
      <t>ダイガク</t>
    </rPh>
    <phoneticPr fontId="1"/>
  </si>
  <si>
    <t>短期大学（３年課程）</t>
    <rPh sb="0" eb="4">
      <t>タンキダイガク</t>
    </rPh>
    <rPh sb="6" eb="7">
      <t>ネン</t>
    </rPh>
    <rPh sb="7" eb="9">
      <t>カテイ</t>
    </rPh>
    <phoneticPr fontId="1"/>
  </si>
  <si>
    <t>その他（５年一貫教育・高等学校専攻科 等）</t>
    <rPh sb="2" eb="3">
      <t>タ</t>
    </rPh>
    <rPh sb="5" eb="6">
      <t>ネン</t>
    </rPh>
    <rPh sb="6" eb="8">
      <t>イッカン</t>
    </rPh>
    <rPh sb="8" eb="10">
      <t>キョウイク</t>
    </rPh>
    <rPh sb="11" eb="15">
      <t>コウトウガッコウ</t>
    </rPh>
    <rPh sb="15" eb="18">
      <t>センコウカ</t>
    </rPh>
    <rPh sb="19" eb="20">
      <t>トウ</t>
    </rPh>
    <phoneticPr fontId="1"/>
  </si>
  <si>
    <t>（３） 特定行為研修修了者に期待する効果を教えてください。（※ 複数回答可）　</t>
    <phoneticPr fontId="1"/>
  </si>
  <si>
    <r>
      <t xml:space="preserve">　　   </t>
    </r>
    <r>
      <rPr>
        <b/>
        <sz val="11"/>
        <color rgb="FFFF0000"/>
        <rFont val="ＭＳ Ｐゴシック"/>
        <family val="3"/>
        <charset val="128"/>
      </rPr>
      <t>※特定行為研修修了者がいない場合でもご回答ください。</t>
    </r>
    <r>
      <rPr>
        <b/>
        <sz val="11"/>
        <color theme="1"/>
        <rFont val="ＭＳ Ｐゴシック"/>
        <family val="3"/>
        <charset val="128"/>
      </rPr>
      <t>　　　</t>
    </r>
    <rPh sb="6" eb="15">
      <t>トクテイコウイケンシュウシュウリョウシャ</t>
    </rPh>
    <rPh sb="19" eb="21">
      <t>バアイ</t>
    </rPh>
    <rPh sb="24" eb="26">
      <t>カイトウ</t>
    </rPh>
    <phoneticPr fontId="1"/>
  </si>
  <si>
    <t>専門看護師認定者数</t>
    <rPh sb="0" eb="2">
      <t>センモン</t>
    </rPh>
    <rPh sb="2" eb="5">
      <t>カンゴシ</t>
    </rPh>
    <rPh sb="5" eb="7">
      <t>ニンテイ</t>
    </rPh>
    <rPh sb="7" eb="8">
      <t>シャ</t>
    </rPh>
    <rPh sb="8" eb="9">
      <t>スウ</t>
    </rPh>
    <phoneticPr fontId="1"/>
  </si>
  <si>
    <t>（２）分野別の看護師数を教えてください。</t>
    <rPh sb="3" eb="6">
      <t>ブンヤベツ</t>
    </rPh>
    <rPh sb="7" eb="10">
      <t>カンゴシ</t>
    </rPh>
    <rPh sb="10" eb="11">
      <t>スウ</t>
    </rPh>
    <rPh sb="12" eb="13">
      <t>オシ</t>
    </rPh>
    <phoneticPr fontId="1"/>
  </si>
  <si>
    <t>がん看護</t>
    <rPh sb="2" eb="4">
      <t>カンゴ</t>
    </rPh>
    <phoneticPr fontId="1"/>
  </si>
  <si>
    <t>母性看護</t>
    <rPh sb="0" eb="2">
      <t>ボセイ</t>
    </rPh>
    <rPh sb="2" eb="4">
      <t>カンゴ</t>
    </rPh>
    <phoneticPr fontId="1"/>
  </si>
  <si>
    <t>在宅看護</t>
    <rPh sb="0" eb="2">
      <t>ザイタク</t>
    </rPh>
    <rPh sb="2" eb="4">
      <t>カンゴ</t>
    </rPh>
    <phoneticPr fontId="1"/>
  </si>
  <si>
    <t>精神看護</t>
    <rPh sb="0" eb="2">
      <t>セイシン</t>
    </rPh>
    <rPh sb="2" eb="4">
      <t>カンゴ</t>
    </rPh>
    <phoneticPr fontId="1"/>
  </si>
  <si>
    <t>慢性疾患看護</t>
    <rPh sb="0" eb="2">
      <t>マンセイ</t>
    </rPh>
    <rPh sb="2" eb="4">
      <t>シッカン</t>
    </rPh>
    <rPh sb="4" eb="6">
      <t>カンゴ</t>
    </rPh>
    <phoneticPr fontId="1"/>
  </si>
  <si>
    <t>遺伝看護</t>
    <rPh sb="0" eb="2">
      <t>イデン</t>
    </rPh>
    <rPh sb="2" eb="4">
      <t>カンゴ</t>
    </rPh>
    <phoneticPr fontId="1"/>
  </si>
  <si>
    <t>地域看護</t>
    <rPh sb="0" eb="2">
      <t>チイキ</t>
    </rPh>
    <rPh sb="2" eb="4">
      <t>カンゴ</t>
    </rPh>
    <phoneticPr fontId="1"/>
  </si>
  <si>
    <t>急性・重症患者看護</t>
    <rPh sb="0" eb="2">
      <t>キュウセイ</t>
    </rPh>
    <rPh sb="3" eb="5">
      <t>ジュウショウ</t>
    </rPh>
    <rPh sb="5" eb="7">
      <t>カンジャ</t>
    </rPh>
    <rPh sb="7" eb="9">
      <t>カンゴ</t>
    </rPh>
    <phoneticPr fontId="1"/>
  </si>
  <si>
    <t>災害看護</t>
    <rPh sb="0" eb="2">
      <t>サイガイ</t>
    </rPh>
    <rPh sb="2" eb="4">
      <t>カンゴ</t>
    </rPh>
    <phoneticPr fontId="1"/>
  </si>
  <si>
    <t>老人看護</t>
    <rPh sb="0" eb="2">
      <t>ロウジン</t>
    </rPh>
    <rPh sb="2" eb="4">
      <t>カンゴ</t>
    </rPh>
    <phoneticPr fontId="1"/>
  </si>
  <si>
    <t>感染症看護</t>
    <rPh sb="0" eb="3">
      <t>カンセンショウ</t>
    </rPh>
    <rPh sb="3" eb="5">
      <t>カンゴ</t>
    </rPh>
    <phoneticPr fontId="1"/>
  </si>
  <si>
    <t>放射線看護</t>
    <rPh sb="0" eb="3">
      <t>ホウシャセン</t>
    </rPh>
    <rPh sb="3" eb="5">
      <t>カンゴ</t>
    </rPh>
    <phoneticPr fontId="1"/>
  </si>
  <si>
    <t>小児看護</t>
    <rPh sb="0" eb="2">
      <t>ショウニ</t>
    </rPh>
    <rPh sb="2" eb="4">
      <t>カンゴ</t>
    </rPh>
    <phoneticPr fontId="1"/>
  </si>
  <si>
    <t>家族支援</t>
    <rPh sb="0" eb="2">
      <t>カゾク</t>
    </rPh>
    <rPh sb="2" eb="4">
      <t>シエン</t>
    </rPh>
    <phoneticPr fontId="1"/>
  </si>
  <si>
    <t>診療看護師認定者数</t>
    <rPh sb="0" eb="2">
      <t>シンリョウ</t>
    </rPh>
    <rPh sb="2" eb="5">
      <t>カンゴシ</t>
    </rPh>
    <rPh sb="5" eb="8">
      <t>ニンテイシャ</t>
    </rPh>
    <rPh sb="8" eb="9">
      <t>スウ</t>
    </rPh>
    <phoneticPr fontId="1"/>
  </si>
  <si>
    <t>ご協力ありがとうございました。　Excelファイルでご提出くださいますようお願いします。</t>
    <rPh sb="1" eb="3">
      <t>キョウリョク</t>
    </rPh>
    <rPh sb="27" eb="29">
      <t>テイシュツ</t>
    </rPh>
    <rPh sb="38" eb="39">
      <t>ネガ</t>
    </rPh>
    <phoneticPr fontId="1"/>
  </si>
  <si>
    <t>※ 事務職員が記入される場合も、管理者と共有をしていただきますようお願いします。</t>
    <rPh sb="2" eb="6">
      <t>ジムショクイン</t>
    </rPh>
    <rPh sb="7" eb="9">
      <t>キニュウ</t>
    </rPh>
    <rPh sb="12" eb="14">
      <t>バアイ</t>
    </rPh>
    <rPh sb="16" eb="19">
      <t>カンリシャ</t>
    </rPh>
    <rPh sb="20" eb="22">
      <t>キョウユウ</t>
    </rPh>
    <rPh sb="34" eb="35">
      <t>ネガ</t>
    </rPh>
    <phoneticPr fontId="1"/>
  </si>
  <si>
    <t>適性</t>
    <rPh sb="0" eb="2">
      <t>テキセイ</t>
    </rPh>
    <phoneticPr fontId="1"/>
  </si>
  <si>
    <t>能力</t>
    <rPh sb="0" eb="2">
      <t>ノウリョク</t>
    </rPh>
    <phoneticPr fontId="1"/>
  </si>
  <si>
    <t>新卒採用者</t>
    <rPh sb="0" eb="2">
      <t>シンソツ</t>
    </rPh>
    <rPh sb="2" eb="5">
      <t>サイヨウシャ</t>
    </rPh>
    <phoneticPr fontId="1"/>
  </si>
  <si>
    <t>うち
退職</t>
    <rPh sb="3" eb="5">
      <t>タイショク</t>
    </rPh>
    <phoneticPr fontId="1"/>
  </si>
  <si>
    <t>短大</t>
    <rPh sb="0" eb="2">
      <t>タンダイ</t>
    </rPh>
    <phoneticPr fontId="1"/>
  </si>
  <si>
    <t>2年課程</t>
    <rPh sb="1" eb="4">
      <t>ネンカテイ</t>
    </rPh>
    <phoneticPr fontId="1"/>
  </si>
  <si>
    <t>大学院</t>
    <rPh sb="0" eb="2">
      <t>ダイガク</t>
    </rPh>
    <rPh sb="2" eb="3">
      <t>イン</t>
    </rPh>
    <phoneticPr fontId="1"/>
  </si>
  <si>
    <t>保健師学校</t>
    <rPh sb="0" eb="5">
      <t>ホケンシガッコウ</t>
    </rPh>
    <phoneticPr fontId="1"/>
  </si>
  <si>
    <t>短期大学（保健師専攻科）</t>
    <rPh sb="0" eb="4">
      <t>タンキダイガク</t>
    </rPh>
    <rPh sb="5" eb="8">
      <t>ホケンシ</t>
    </rPh>
    <rPh sb="8" eb="11">
      <t>センコウカ</t>
    </rPh>
    <phoneticPr fontId="1"/>
  </si>
  <si>
    <t>看護師学校養成所（３年課程、統合カリキュラム）</t>
    <rPh sb="0" eb="5">
      <t>カンゴシガッコウ</t>
    </rPh>
    <rPh sb="5" eb="8">
      <t>ヨウセイジョ</t>
    </rPh>
    <rPh sb="10" eb="11">
      <t>ネン</t>
    </rPh>
    <rPh sb="11" eb="13">
      <t>カテイ</t>
    </rPh>
    <rPh sb="14" eb="16">
      <t>トウゴウ</t>
    </rPh>
    <phoneticPr fontId="1"/>
  </si>
  <si>
    <t>保健師学校</t>
    <rPh sb="0" eb="5">
      <t>ホケンシガッコウ</t>
    </rPh>
    <phoneticPr fontId="1"/>
  </si>
  <si>
    <t>3年・統カリ</t>
    <rPh sb="1" eb="2">
      <t>ネン</t>
    </rPh>
    <rPh sb="3" eb="4">
      <t>トウ</t>
    </rPh>
    <phoneticPr fontId="1"/>
  </si>
  <si>
    <t>３　専門看護師</t>
    <rPh sb="2" eb="7">
      <t>センモンカンゴシ</t>
    </rPh>
    <phoneticPr fontId="1"/>
  </si>
  <si>
    <t>４　NP</t>
    <phoneticPr fontId="1"/>
  </si>
  <si>
    <t>分野</t>
    <rPh sb="0" eb="2">
      <t>ブンヤ</t>
    </rPh>
    <phoneticPr fontId="1"/>
  </si>
  <si>
    <t>がん</t>
    <phoneticPr fontId="1"/>
  </si>
  <si>
    <t>地域</t>
    <rPh sb="0" eb="2">
      <t>チイキ</t>
    </rPh>
    <phoneticPr fontId="1"/>
  </si>
  <si>
    <t>老人</t>
    <rPh sb="0" eb="2">
      <t>ロウジン</t>
    </rPh>
    <phoneticPr fontId="1"/>
  </si>
  <si>
    <t>母性</t>
    <rPh sb="0" eb="2">
      <t>ボセイ</t>
    </rPh>
    <phoneticPr fontId="1"/>
  </si>
  <si>
    <t>慢性
疾患</t>
    <rPh sb="0" eb="2">
      <t>マンセイ</t>
    </rPh>
    <rPh sb="3" eb="5">
      <t>シッカン</t>
    </rPh>
    <phoneticPr fontId="1"/>
  </si>
  <si>
    <t>急性
重症</t>
    <rPh sb="0" eb="2">
      <t>キュウセイ</t>
    </rPh>
    <rPh sb="3" eb="5">
      <t>ジュウショウ</t>
    </rPh>
    <phoneticPr fontId="1"/>
  </si>
  <si>
    <t>感染症</t>
    <rPh sb="0" eb="3">
      <t>カンセンショウ</t>
    </rPh>
    <phoneticPr fontId="1"/>
  </si>
  <si>
    <t>家族</t>
    <rPh sb="0" eb="2">
      <t>カゾク</t>
    </rPh>
    <phoneticPr fontId="1"/>
  </si>
  <si>
    <t>遺伝</t>
    <rPh sb="0" eb="2">
      <t>イデン</t>
    </rPh>
    <phoneticPr fontId="1"/>
  </si>
  <si>
    <t>災害</t>
    <rPh sb="0" eb="2">
      <t>サイガイ</t>
    </rPh>
    <phoneticPr fontId="1"/>
  </si>
  <si>
    <t>理由</t>
    <rPh sb="0" eb="2">
      <t>リユウ</t>
    </rPh>
    <phoneticPr fontId="1"/>
  </si>
  <si>
    <t>令和７年度 看護人材実態調査（採用退職状況等調査）</t>
    <rPh sb="0" eb="2">
      <t>レイワ</t>
    </rPh>
    <rPh sb="3" eb="5">
      <t>ネンド</t>
    </rPh>
    <rPh sb="6" eb="8">
      <t>カンゴ</t>
    </rPh>
    <rPh sb="8" eb="10">
      <t>ジンザイ</t>
    </rPh>
    <rPh sb="10" eb="12">
      <t>ジッタイ</t>
    </rPh>
    <rPh sb="12" eb="14">
      <t>チョウサ</t>
    </rPh>
    <rPh sb="15" eb="22">
      <t>サイヨウタイショクジョウキョウナド</t>
    </rPh>
    <rPh sb="22" eb="24">
      <t>チョウサ</t>
    </rPh>
    <phoneticPr fontId="1"/>
  </si>
  <si>
    <t>（１）令和７年４月１日現在、在職している看護職員（休業休職者含む）の人数を記入してください。</t>
    <rPh sb="3" eb="5">
      <t>レイワ</t>
    </rPh>
    <rPh sb="6" eb="7">
      <t>ネン</t>
    </rPh>
    <rPh sb="8" eb="9">
      <t>ガツ</t>
    </rPh>
    <rPh sb="10" eb="11">
      <t>ニチ</t>
    </rPh>
    <rPh sb="11" eb="13">
      <t>ゲンザイ</t>
    </rPh>
    <rPh sb="14" eb="16">
      <t>ザイショク</t>
    </rPh>
    <rPh sb="20" eb="24">
      <t>カンゴショクイン</t>
    </rPh>
    <rPh sb="25" eb="27">
      <t>キュウギョウ</t>
    </rPh>
    <rPh sb="27" eb="30">
      <t>キュウショクシャ</t>
    </rPh>
    <rPh sb="30" eb="31">
      <t>フク</t>
    </rPh>
    <rPh sb="34" eb="36">
      <t>ニンズウ</t>
    </rPh>
    <rPh sb="37" eb="39">
      <t>キニュウ</t>
    </rPh>
    <phoneticPr fontId="1"/>
  </si>
  <si>
    <t>（２）令和７年４月１日現在、在職している看護職員以外（休業休職者含む）の実人数を記入してください。</t>
    <rPh sb="3" eb="5">
      <t>レイワ</t>
    </rPh>
    <rPh sb="6" eb="7">
      <t>ネン</t>
    </rPh>
    <rPh sb="8" eb="9">
      <t>ガツ</t>
    </rPh>
    <rPh sb="10" eb="11">
      <t>ニチ</t>
    </rPh>
    <rPh sb="11" eb="13">
      <t>ゲンザイ</t>
    </rPh>
    <rPh sb="14" eb="16">
      <t>ザイショク</t>
    </rPh>
    <rPh sb="20" eb="24">
      <t>カンゴショクイン</t>
    </rPh>
    <rPh sb="24" eb="26">
      <t>イガイ</t>
    </rPh>
    <rPh sb="27" eb="29">
      <t>キュウギョウ</t>
    </rPh>
    <rPh sb="29" eb="32">
      <t>キュウショクシャ</t>
    </rPh>
    <rPh sb="32" eb="33">
      <t>フク</t>
    </rPh>
    <rPh sb="36" eb="37">
      <t>ジツ</t>
    </rPh>
    <rPh sb="37" eb="39">
      <t>ニンズウ</t>
    </rPh>
    <rPh sb="40" eb="42">
      <t>キニュウ</t>
    </rPh>
    <phoneticPr fontId="1"/>
  </si>
  <si>
    <t>看護師</t>
    <rPh sb="0" eb="2">
      <t>カンゴ</t>
    </rPh>
    <rPh sb="2" eb="3">
      <t>シ</t>
    </rPh>
    <phoneticPr fontId="1"/>
  </si>
  <si>
    <r>
      <t xml:space="preserve">令和6年4月1日現在の
看護職員数
</t>
    </r>
    <r>
      <rPr>
        <u/>
        <sz val="11"/>
        <color theme="1"/>
        <rFont val="ＭＳ Ｐゴシック"/>
        <family val="3"/>
        <charset val="128"/>
      </rPr>
      <t>（</t>
    </r>
    <r>
      <rPr>
        <b/>
        <u/>
        <sz val="11"/>
        <color theme="1"/>
        <rFont val="ＭＳ Ｐゴシック"/>
        <family val="3"/>
        <charset val="128"/>
      </rPr>
      <t>R6.4.1付採用者除く</t>
    </r>
    <r>
      <rPr>
        <u/>
        <sz val="11"/>
        <color theme="1"/>
        <rFont val="ＭＳ Ｐゴシック"/>
        <family val="3"/>
        <charset val="128"/>
      </rPr>
      <t>）</t>
    </r>
    <rPh sb="0" eb="2">
      <t>レイワ</t>
    </rPh>
    <rPh sb="3" eb="4">
      <t>ネン</t>
    </rPh>
    <rPh sb="5" eb="6">
      <t>ガツ</t>
    </rPh>
    <rPh sb="7" eb="8">
      <t>ニチ</t>
    </rPh>
    <rPh sb="8" eb="10">
      <t>ゲンザイ</t>
    </rPh>
    <rPh sb="12" eb="17">
      <t>カンゴショクインスウ</t>
    </rPh>
    <rPh sb="25" eb="26">
      <t>ヅ</t>
    </rPh>
    <rPh sb="26" eb="29">
      <t>サイヨウシャ</t>
    </rPh>
    <rPh sb="29" eb="30">
      <t>ノゾ</t>
    </rPh>
    <phoneticPr fontId="1"/>
  </si>
  <si>
    <r>
      <t>問４　看護職員の退職状況</t>
    </r>
    <r>
      <rPr>
        <b/>
        <u/>
        <sz val="11"/>
        <color theme="1"/>
        <rFont val="ＭＳ Ｐゴシック"/>
        <family val="3"/>
        <charset val="128"/>
      </rPr>
      <t>（令和６年４月１日～令和７年３月３１日）</t>
    </r>
    <rPh sb="0" eb="1">
      <t>トイ</t>
    </rPh>
    <rPh sb="3" eb="7">
      <t>カンゴショクイン</t>
    </rPh>
    <rPh sb="8" eb="10">
      <t>タイショク</t>
    </rPh>
    <rPh sb="10" eb="12">
      <t>ジョウキョウ</t>
    </rPh>
    <rPh sb="13" eb="15">
      <t>レイワ</t>
    </rPh>
    <rPh sb="16" eb="17">
      <t>ネン</t>
    </rPh>
    <rPh sb="18" eb="19">
      <t>ガツ</t>
    </rPh>
    <rPh sb="20" eb="21">
      <t>ニチ</t>
    </rPh>
    <rPh sb="22" eb="24">
      <t>レイワ</t>
    </rPh>
    <rPh sb="25" eb="26">
      <t>ネン</t>
    </rPh>
    <rPh sb="27" eb="28">
      <t>ガツ</t>
    </rPh>
    <rPh sb="30" eb="31">
      <t>ニチ</t>
    </rPh>
    <phoneticPr fontId="1"/>
  </si>
  <si>
    <r>
      <t xml:space="preserve">（５） </t>
    </r>
    <r>
      <rPr>
        <b/>
        <sz val="11"/>
        <color rgb="FFFF0000"/>
        <rFont val="ＭＳ Ｐゴシック"/>
        <family val="3"/>
        <charset val="128"/>
      </rPr>
      <t>（４）で「職員を計画的に派遣している」を選択した場合</t>
    </r>
    <r>
      <rPr>
        <b/>
        <sz val="11"/>
        <color theme="1"/>
        <rFont val="ＭＳ Ｐゴシック"/>
        <family val="3"/>
        <charset val="128"/>
      </rPr>
      <t>、受講計画を教えてください。</t>
    </r>
    <rPh sb="9" eb="11">
      <t>ショクイン</t>
    </rPh>
    <rPh sb="12" eb="15">
      <t>ケイカクテキ</t>
    </rPh>
    <rPh sb="16" eb="18">
      <t>ハケン</t>
    </rPh>
    <rPh sb="24" eb="26">
      <t>センタク</t>
    </rPh>
    <rPh sb="28" eb="30">
      <t>バアイ</t>
    </rPh>
    <rPh sb="31" eb="35">
      <t>ジュコウケイカク</t>
    </rPh>
    <rPh sb="36" eb="37">
      <t>オシ</t>
    </rPh>
    <phoneticPr fontId="1"/>
  </si>
  <si>
    <t>例）毎年１人ずつ研修に派遣する。　令和８年度までに特定行為研修を受講させる。等</t>
    <rPh sb="0" eb="1">
      <t>レイ</t>
    </rPh>
    <rPh sb="2" eb="3">
      <t>マイ</t>
    </rPh>
    <rPh sb="3" eb="4">
      <t>ネン</t>
    </rPh>
    <rPh sb="5" eb="6">
      <t>ニン</t>
    </rPh>
    <rPh sb="8" eb="10">
      <t>ケンシュウ</t>
    </rPh>
    <rPh sb="11" eb="13">
      <t>ハケン</t>
    </rPh>
    <rPh sb="17" eb="19">
      <t>レイワ</t>
    </rPh>
    <rPh sb="20" eb="22">
      <t>ネンド</t>
    </rPh>
    <rPh sb="25" eb="31">
      <t>トクテイコウイケンシュウ</t>
    </rPh>
    <rPh sb="32" eb="34">
      <t>ジュコウ</t>
    </rPh>
    <rPh sb="38" eb="39">
      <t>トウ</t>
    </rPh>
    <phoneticPr fontId="1"/>
  </si>
  <si>
    <r>
      <t>（６）</t>
    </r>
    <r>
      <rPr>
        <b/>
        <sz val="11"/>
        <color rgb="FFFF0000"/>
        <rFont val="ＭＳ Ｐゴシック"/>
        <family val="3"/>
        <charset val="128"/>
      </rPr>
      <t xml:space="preserve"> （４）で「派遣していない」を選択した場合、</t>
    </r>
    <r>
      <rPr>
        <b/>
        <sz val="11"/>
        <color theme="1"/>
        <rFont val="ＭＳ Ｐゴシック"/>
        <family val="3"/>
        <charset val="128"/>
      </rPr>
      <t>その理由について教えてください。（※ 複数回答可）</t>
    </r>
    <rPh sb="9" eb="11">
      <t>ハケン</t>
    </rPh>
    <rPh sb="18" eb="20">
      <t>センタク</t>
    </rPh>
    <rPh sb="22" eb="24">
      <t>バアイ</t>
    </rPh>
    <rPh sb="27" eb="29">
      <t>リユウ</t>
    </rPh>
    <rPh sb="33" eb="34">
      <t>オシ</t>
    </rPh>
    <rPh sb="44" eb="46">
      <t>フクスウ</t>
    </rPh>
    <rPh sb="46" eb="49">
      <t>カイトウカ</t>
    </rPh>
    <phoneticPr fontId="1"/>
  </si>
  <si>
    <r>
      <t>２　特定行為研修修了看護師について</t>
    </r>
    <r>
      <rPr>
        <b/>
        <u/>
        <sz val="11"/>
        <color theme="1"/>
        <rFont val="ＭＳ Ｐゴシック"/>
        <family val="3"/>
        <charset val="128"/>
      </rPr>
      <t>（令和7年４月１日現在）</t>
    </r>
    <rPh sb="2" eb="4">
      <t>トクテイ</t>
    </rPh>
    <rPh sb="4" eb="6">
      <t>コウイ</t>
    </rPh>
    <rPh sb="6" eb="8">
      <t>ケンシュウ</t>
    </rPh>
    <rPh sb="8" eb="10">
      <t>シュウリョウ</t>
    </rPh>
    <rPh sb="10" eb="13">
      <t>カンゴシ</t>
    </rPh>
    <phoneticPr fontId="1"/>
  </si>
  <si>
    <r>
      <t xml:space="preserve">　　   </t>
    </r>
    <r>
      <rPr>
        <b/>
        <sz val="11"/>
        <color rgb="FFFF0000"/>
        <rFont val="ＭＳ Ｐゴシック"/>
        <family val="3"/>
        <charset val="128"/>
      </rPr>
      <t>※認定看護師がいない場合でもご回答ください。</t>
    </r>
    <r>
      <rPr>
        <b/>
        <sz val="11"/>
        <color theme="1"/>
        <rFont val="ＭＳ Ｐゴシック"/>
        <family val="3"/>
        <charset val="128"/>
      </rPr>
      <t>　　　</t>
    </r>
    <rPh sb="6" eb="8">
      <t>ニンテイ</t>
    </rPh>
    <rPh sb="8" eb="11">
      <t>カンゴシ</t>
    </rPh>
    <rPh sb="15" eb="17">
      <t>バアイ</t>
    </rPh>
    <rPh sb="20" eb="22">
      <t>カイトウ</t>
    </rPh>
    <phoneticPr fontId="1"/>
  </si>
  <si>
    <t>例）毎年１人ずつ研修に派遣する。　令和１０年度までに2人派遣する。　等</t>
    <rPh sb="0" eb="1">
      <t>レイ</t>
    </rPh>
    <rPh sb="2" eb="3">
      <t>マイ</t>
    </rPh>
    <rPh sb="3" eb="4">
      <t>ネン</t>
    </rPh>
    <rPh sb="5" eb="6">
      <t>ニン</t>
    </rPh>
    <rPh sb="8" eb="10">
      <t>ケンシュウ</t>
    </rPh>
    <rPh sb="11" eb="13">
      <t>ハケン</t>
    </rPh>
    <rPh sb="17" eb="19">
      <t>レイワ</t>
    </rPh>
    <rPh sb="21" eb="23">
      <t>ネンド</t>
    </rPh>
    <rPh sb="27" eb="30">
      <t>ニンハケン</t>
    </rPh>
    <rPh sb="34" eb="35">
      <t>トウ</t>
    </rPh>
    <phoneticPr fontId="1"/>
  </si>
  <si>
    <r>
      <t>３　専門看護師について</t>
    </r>
    <r>
      <rPr>
        <b/>
        <u/>
        <sz val="11"/>
        <color theme="1"/>
        <rFont val="ＭＳ Ｐゴシック"/>
        <family val="3"/>
        <charset val="128"/>
      </rPr>
      <t>（令和７年４月１日現在）</t>
    </r>
    <rPh sb="2" eb="4">
      <t>センモン</t>
    </rPh>
    <rPh sb="4" eb="7">
      <t>カンゴシ</t>
    </rPh>
    <rPh sb="12" eb="14">
      <t>レイワ</t>
    </rPh>
    <rPh sb="15" eb="16">
      <t>ネン</t>
    </rPh>
    <rPh sb="17" eb="18">
      <t>ガツ</t>
    </rPh>
    <rPh sb="19" eb="20">
      <t>ニチ</t>
    </rPh>
    <rPh sb="20" eb="22">
      <t>ゲンザイ</t>
    </rPh>
    <phoneticPr fontId="1"/>
  </si>
  <si>
    <r>
      <t>４　診療看護師（NP）について</t>
    </r>
    <r>
      <rPr>
        <b/>
        <u/>
        <sz val="11"/>
        <color theme="1"/>
        <rFont val="ＭＳ Ｐゴシック"/>
        <family val="3"/>
        <charset val="128"/>
      </rPr>
      <t>（令和７年４月１日現在）</t>
    </r>
    <rPh sb="2" eb="4">
      <t>シンリョウ</t>
    </rPh>
    <rPh sb="4" eb="7">
      <t>カンゴシ</t>
    </rPh>
    <rPh sb="16" eb="18">
      <t>レイワ</t>
    </rPh>
    <rPh sb="19" eb="20">
      <t>ネン</t>
    </rPh>
    <rPh sb="21" eb="22">
      <t>ガツ</t>
    </rPh>
    <rPh sb="23" eb="24">
      <t>ニチ</t>
    </rPh>
    <rPh sb="24" eb="26">
      <t>ゲンザイ</t>
    </rPh>
    <phoneticPr fontId="1"/>
  </si>
  <si>
    <r>
      <t>５　認定看護管理者について</t>
    </r>
    <r>
      <rPr>
        <b/>
        <u/>
        <sz val="11"/>
        <color theme="1"/>
        <rFont val="ＭＳ Ｐゴシック"/>
        <family val="3"/>
        <charset val="128"/>
      </rPr>
      <t>（令和７年４月１日現在）</t>
    </r>
    <rPh sb="2" eb="9">
      <t>ニンテイカンゴカンリシャ</t>
    </rPh>
    <rPh sb="14" eb="16">
      <t>レイワ</t>
    </rPh>
    <rPh sb="17" eb="18">
      <t>ネン</t>
    </rPh>
    <rPh sb="19" eb="20">
      <t>ガツ</t>
    </rPh>
    <rPh sb="21" eb="22">
      <t>ニチ</t>
    </rPh>
    <rPh sb="22" eb="24">
      <t>ゲンザイ</t>
    </rPh>
    <phoneticPr fontId="1"/>
  </si>
  <si>
    <t>認定看護管理者数</t>
    <rPh sb="0" eb="8">
      <t>ニンテイカンゴカンリシャスウ</t>
    </rPh>
    <phoneticPr fontId="1"/>
  </si>
  <si>
    <t>人</t>
    <rPh sb="0" eb="1">
      <t>ニン</t>
    </rPh>
    <phoneticPr fontId="1"/>
  </si>
  <si>
    <t>とっていない</t>
  </si>
  <si>
    <t>実績あり</t>
    <rPh sb="0" eb="2">
      <t>ジッセキ</t>
    </rPh>
    <phoneticPr fontId="1"/>
  </si>
  <si>
    <t>実績なし</t>
    <rPh sb="0" eb="2">
      <t>ジッセキ</t>
    </rPh>
    <phoneticPr fontId="1"/>
  </si>
  <si>
    <t>その他（　　　　　　　　　　　　　　　　　　　　　　　　　　　　　</t>
    <rPh sb="2" eb="3">
      <t>タ</t>
    </rPh>
    <phoneticPr fontId="1"/>
  </si>
  <si>
    <t>　　）</t>
    <phoneticPr fontId="1"/>
  </si>
  <si>
    <t>１　認定看護師について（令和７年４月１日現在）</t>
  </si>
  <si>
    <t>（１）認定看護師認定者数を教えてください。</t>
  </si>
  <si>
    <t>認定看護師認定者数</t>
  </si>
  <si>
    <t>人</t>
  </si>
  <si>
    <t>※１　「1」人以上を入力された場合は、（２）以下もご回答ください。</t>
  </si>
  <si>
    <t>※２　「0」人を入力された場合は、（４）へお進みください。</t>
  </si>
  <si>
    <t>（２）分野別の認定者数を教えてください。</t>
  </si>
  <si>
    <t>A　　課　　程</t>
  </si>
  <si>
    <t>B　　課　　程</t>
  </si>
  <si>
    <t>救急看護</t>
  </si>
  <si>
    <t>透析看護</t>
  </si>
  <si>
    <t>クリティカルケア</t>
  </si>
  <si>
    <t>腎不全看護</t>
  </si>
  <si>
    <t>集中ケア</t>
  </si>
  <si>
    <t>手術看護</t>
  </si>
  <si>
    <t>皮膚・排泄ケア</t>
  </si>
  <si>
    <t>乳がん看護</t>
  </si>
  <si>
    <t>緩和ケア</t>
  </si>
  <si>
    <t>摂食・嚥下障害看護</t>
  </si>
  <si>
    <t>がん薬物療法看護</t>
  </si>
  <si>
    <t>摂食嚥下障害看護</t>
  </si>
  <si>
    <t>がん性疼痛看護</t>
  </si>
  <si>
    <t>小児救急看護</t>
  </si>
  <si>
    <t>在宅ケア</t>
  </si>
  <si>
    <t>小児プライマリケア</t>
  </si>
  <si>
    <t>がん化学療法看護</t>
  </si>
  <si>
    <t>認知症看護</t>
  </si>
  <si>
    <t>感染管理</t>
  </si>
  <si>
    <t>訪問看護</t>
  </si>
  <si>
    <t>脳卒中リハビリ看護</t>
  </si>
  <si>
    <t>糖尿病看護</t>
  </si>
  <si>
    <t>脳卒中看護</t>
  </si>
  <si>
    <t>がん放射線療法看護</t>
  </si>
  <si>
    <t>生殖看護</t>
  </si>
  <si>
    <t>慢性呼吸器疾患看護</t>
  </si>
  <si>
    <t>新生児集中ケア</t>
  </si>
  <si>
    <t>呼吸器疾患看護</t>
  </si>
  <si>
    <t>不妊症看護</t>
  </si>
  <si>
    <t>慢性心不全看護</t>
  </si>
  <si>
    <t>心不全看護</t>
  </si>
  <si>
    <t>精神科看護</t>
  </si>
  <si>
    <t>（１）特定行為研修修了者数を教えてください。</t>
  </si>
  <si>
    <t>特定行為研修修了者数</t>
  </si>
  <si>
    <t>（２）区分別の修了者数および修了者数を教えてください。
　　また、これまでに特定行為を実施した実績がある区分に○をつけてください。</t>
  </si>
  <si>
    <t>区分</t>
  </si>
  <si>
    <t>人数</t>
  </si>
  <si>
    <t>実績</t>
  </si>
  <si>
    <t>B課程※２</t>
  </si>
  <si>
    <t>呼吸器（気道確保に係るもの）関連</t>
  </si>
  <si>
    <t>創部ドレーン管理関連</t>
  </si>
  <si>
    <t>呼吸器（人工呼吸療法に係るもの）関連</t>
  </si>
  <si>
    <t>動脈血液ガス分析関連</t>
  </si>
  <si>
    <t>呼吸器（長期呼吸療法に係るもの）関連</t>
  </si>
  <si>
    <t>透析管理関連</t>
  </si>
  <si>
    <t>循環器関連</t>
  </si>
  <si>
    <t>栄養および水分管理関連に係る薬剤投与関連</t>
  </si>
  <si>
    <t>心嚢ドレーン管理関連</t>
  </si>
  <si>
    <t>感染に係る薬剤投与関連</t>
  </si>
  <si>
    <t>胸腔ドレーン管理関連</t>
  </si>
  <si>
    <t>血糖コントロールに係る薬剤投与関連</t>
  </si>
  <si>
    <t>腹腔ドレーン管理関連</t>
  </si>
  <si>
    <t>術後疼痛管理関連</t>
  </si>
  <si>
    <t>ろう孔管理関連</t>
  </si>
  <si>
    <t>循環動態に係る薬剤投与関連</t>
  </si>
  <si>
    <t>栄養に係るカテーテル管理（中心静脈カテーテル管理）関連</t>
  </si>
  <si>
    <t>精神および精神症状に係る薬剤投与関連</t>
  </si>
  <si>
    <t>栄養に係るカテーテル管理（末梢留置型中心静脈注射用カテーテル管理）関連</t>
  </si>
  <si>
    <t>皮膚損傷に係る薬剤投与関連</t>
  </si>
  <si>
    <t>創傷管理関連</t>
  </si>
  <si>
    <t>※１ 領域別パッケージ研修を修了した場合は、パッケージに含まれる特定行為区分すべてに人数を計上してください。</t>
  </si>
  <si>
    <t>※２　特定行為研修修了者の内、認定看護師B課程で特定行為研終了した人数(再掲。)</t>
  </si>
  <si>
    <t>（</t>
    <phoneticPr fontId="1"/>
  </si>
  <si>
    <t>）</t>
    <phoneticPr fontId="1"/>
  </si>
  <si>
    <t>　⇒　（３）を回答してください</t>
    <rPh sb="7" eb="9">
      <t>カイトウ</t>
    </rPh>
    <phoneticPr fontId="1"/>
  </si>
  <si>
    <t>非正規雇用</t>
    <rPh sb="0" eb="5">
      <t>ヒセイキコヨウ</t>
    </rPh>
    <phoneticPr fontId="1"/>
  </si>
  <si>
    <t>非正規雇用職員</t>
    <rPh sb="0" eb="5">
      <t>ヒセイキコヨウ</t>
    </rPh>
    <rPh sb="5" eb="7">
      <t>ショクイン</t>
    </rPh>
    <phoneticPr fontId="1"/>
  </si>
  <si>
    <t>正規雇用職員</t>
    <rPh sb="0" eb="6">
      <t>セイキコヨウショクイン</t>
    </rPh>
    <phoneticPr fontId="1"/>
  </si>
  <si>
    <t>採用者</t>
    <rPh sb="0" eb="3">
      <t>サイヨウシャ</t>
    </rPh>
    <phoneticPr fontId="1"/>
  </si>
  <si>
    <t>免許種別</t>
    <rPh sb="0" eb="4">
      <t>メンキョシュベツ</t>
    </rPh>
    <phoneticPr fontId="1"/>
  </si>
  <si>
    <t>雇用形態</t>
    <rPh sb="0" eb="4">
      <t>コヨウケイタイ</t>
    </rPh>
    <phoneticPr fontId="1"/>
  </si>
  <si>
    <t>採用月</t>
    <rPh sb="0" eb="3">
      <t>サイヨウツキ</t>
    </rPh>
    <phoneticPr fontId="1"/>
  </si>
  <si>
    <t>経験の有無</t>
    <rPh sb="0" eb="2">
      <t>ケイケン</t>
    </rPh>
    <rPh sb="3" eb="5">
      <t>ウム</t>
    </rPh>
    <phoneticPr fontId="1"/>
  </si>
  <si>
    <t>カテゴリー</t>
    <phoneticPr fontId="1"/>
  </si>
  <si>
    <t>Ｒ6年4月</t>
    <rPh sb="2" eb="3">
      <t>ネン</t>
    </rPh>
    <rPh sb="4" eb="5">
      <t>ガツ</t>
    </rPh>
    <phoneticPr fontId="1"/>
  </si>
  <si>
    <t>Ｒ6年5月</t>
    <rPh sb="2" eb="3">
      <t>ネン</t>
    </rPh>
    <rPh sb="4" eb="5">
      <t>ガツ</t>
    </rPh>
    <phoneticPr fontId="1"/>
  </si>
  <si>
    <t>Ｒ6年6月</t>
    <rPh sb="2" eb="3">
      <t>ネン</t>
    </rPh>
    <rPh sb="4" eb="5">
      <t>ガツ</t>
    </rPh>
    <phoneticPr fontId="1"/>
  </si>
  <si>
    <t>Ｒ6年7月</t>
    <rPh sb="2" eb="3">
      <t>ネン</t>
    </rPh>
    <rPh sb="4" eb="5">
      <t>ガツ</t>
    </rPh>
    <phoneticPr fontId="1"/>
  </si>
  <si>
    <t>Ｒ6年8月</t>
    <rPh sb="2" eb="3">
      <t>ネン</t>
    </rPh>
    <rPh sb="4" eb="5">
      <t>ガツ</t>
    </rPh>
    <phoneticPr fontId="1"/>
  </si>
  <si>
    <t>Ｒ6年9月</t>
    <rPh sb="2" eb="3">
      <t>ネン</t>
    </rPh>
    <rPh sb="4" eb="5">
      <t>ガツ</t>
    </rPh>
    <phoneticPr fontId="1"/>
  </si>
  <si>
    <t>Ｒ6年10月</t>
    <rPh sb="2" eb="3">
      <t>ネン</t>
    </rPh>
    <rPh sb="5" eb="6">
      <t>ガツ</t>
    </rPh>
    <phoneticPr fontId="1"/>
  </si>
  <si>
    <t>Ｒ6年11月</t>
    <rPh sb="2" eb="3">
      <t>ネン</t>
    </rPh>
    <rPh sb="5" eb="6">
      <t>ガツ</t>
    </rPh>
    <phoneticPr fontId="1"/>
  </si>
  <si>
    <t>Ｒ6年12月</t>
    <rPh sb="2" eb="3">
      <t>ネン</t>
    </rPh>
    <rPh sb="5" eb="6">
      <t>ガツ</t>
    </rPh>
    <phoneticPr fontId="1"/>
  </si>
  <si>
    <t>Ｒ7年1月</t>
    <rPh sb="2" eb="3">
      <t>ネン</t>
    </rPh>
    <rPh sb="4" eb="5">
      <t>ガツ</t>
    </rPh>
    <phoneticPr fontId="1"/>
  </si>
  <si>
    <t>Ｒ7年2月</t>
    <rPh sb="2" eb="3">
      <t>ネン</t>
    </rPh>
    <rPh sb="4" eb="5">
      <t>ガツ</t>
    </rPh>
    <phoneticPr fontId="1"/>
  </si>
  <si>
    <t>Ｒ7年3月</t>
    <rPh sb="2" eb="3">
      <t>ネン</t>
    </rPh>
    <rPh sb="4" eb="5">
      <t>ガツ</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</si>
  <si>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</si>
  <si>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</si>
  <si>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</si>
  <si>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</si>
  <si>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正規雇用</t>
    <rPh sb="0" eb="4">
      <t>セイキコヨウ</t>
    </rPh>
    <phoneticPr fontId="1"/>
  </si>
  <si>
    <t>新卒</t>
    <rPh sb="0" eb="2">
      <t>シンソツ</t>
    </rPh>
    <phoneticPr fontId="1"/>
  </si>
  <si>
    <t>既卒</t>
    <rPh sb="0" eb="2">
      <t>キソツ</t>
    </rPh>
    <phoneticPr fontId="1"/>
  </si>
  <si>
    <t>准看護師養成所</t>
    <rPh sb="0" eb="4">
      <t>ジュンカンゴシ</t>
    </rPh>
    <rPh sb="4" eb="7">
      <t>ヨウセイショ</t>
    </rPh>
    <phoneticPr fontId="1"/>
  </si>
  <si>
    <t>県外からの採用</t>
    <rPh sb="0" eb="2">
      <t>ケンガイ</t>
    </rPh>
    <rPh sb="5" eb="7">
      <t>サイヨウ</t>
    </rPh>
    <phoneticPr fontId="1"/>
  </si>
  <si>
    <t>新卒（県外養成所）</t>
    <rPh sb="0" eb="2">
      <t>シンソツ</t>
    </rPh>
    <rPh sb="3" eb="5">
      <t>ケンガイ</t>
    </rPh>
    <rPh sb="5" eb="8">
      <t>ヨウセイショ</t>
    </rPh>
    <phoneticPr fontId="1"/>
  </si>
  <si>
    <t>新卒教育背景</t>
    <rPh sb="0" eb="2">
      <t>シンソツ</t>
    </rPh>
    <rPh sb="2" eb="6">
      <t>キョウイクハイケイ</t>
    </rPh>
    <phoneticPr fontId="1"/>
  </si>
  <si>
    <t>例１</t>
    <rPh sb="0" eb="1">
      <t>レイ</t>
    </rPh>
    <phoneticPr fontId="1"/>
  </si>
  <si>
    <t>例２</t>
    <rPh sb="0" eb="1">
      <t>レイ</t>
    </rPh>
    <phoneticPr fontId="1"/>
  </si>
  <si>
    <t>新卒（県内養成所）</t>
    <rPh sb="0" eb="2">
      <t>シンソツ</t>
    </rPh>
    <rPh sb="3" eb="5">
      <t>ケンナイ</t>
    </rPh>
    <rPh sb="5" eb="8">
      <t>ヨウセイショ</t>
    </rPh>
    <phoneticPr fontId="1"/>
  </si>
  <si>
    <r>
      <t xml:space="preserve">令和6年度職員の
</t>
    </r>
    <r>
      <rPr>
        <b/>
        <u/>
        <sz val="11"/>
        <color rgb="FFFF0000"/>
        <rFont val="ＭＳ Ｐゴシック"/>
        <family val="3"/>
        <charset val="128"/>
      </rPr>
      <t>募集</t>
    </r>
    <r>
      <rPr>
        <sz val="11"/>
        <color theme="1"/>
        <rFont val="ＭＳ Ｐゴシック"/>
        <family val="3"/>
        <charset val="128"/>
      </rPr>
      <t>人数</t>
    </r>
    <rPh sb="0" eb="2">
      <t>レイワ</t>
    </rPh>
    <rPh sb="3" eb="4">
      <t>ネン</t>
    </rPh>
    <rPh sb="4" eb="5">
      <t>ド</t>
    </rPh>
    <rPh sb="5" eb="7">
      <t>ショクイン</t>
    </rPh>
    <rPh sb="9" eb="13">
      <t>ボシュウニンズウ</t>
    </rPh>
    <phoneticPr fontId="1"/>
  </si>
  <si>
    <t>募集・採用共にあり</t>
    <rPh sb="0" eb="2">
      <t>ボシュウ</t>
    </rPh>
    <rPh sb="3" eb="5">
      <t>サイヨウ</t>
    </rPh>
    <rPh sb="5" eb="6">
      <t>トモ</t>
    </rPh>
    <phoneticPr fontId="1"/>
  </si>
  <si>
    <t>募集はあったが、採用なし</t>
    <rPh sb="0" eb="2">
      <t>ボシュウ</t>
    </rPh>
    <rPh sb="8" eb="10">
      <t>サイヨウ</t>
    </rPh>
    <phoneticPr fontId="1"/>
  </si>
  <si>
    <t>募集・採用共になし</t>
    <rPh sb="0" eb="2">
      <t>ボシュウ</t>
    </rPh>
    <rPh sb="3" eb="5">
      <t>サイヨウ</t>
    </rPh>
    <rPh sb="5" eb="6">
      <t>トモ</t>
    </rPh>
    <phoneticPr fontId="1"/>
  </si>
  <si>
    <t>既卒（県内に居住又は就業していた）</t>
    <rPh sb="0" eb="2">
      <t>キソツ</t>
    </rPh>
    <rPh sb="3" eb="5">
      <t>ケンナイ</t>
    </rPh>
    <rPh sb="6" eb="8">
      <t>キョジュウ</t>
    </rPh>
    <rPh sb="8" eb="9">
      <t>マタ</t>
    </rPh>
    <rPh sb="10" eb="12">
      <t>シュウギョウ</t>
    </rPh>
    <phoneticPr fontId="1"/>
  </si>
  <si>
    <t>既卒（県外に居住又は県外からの就職）</t>
    <rPh sb="0" eb="2">
      <t>キソツ</t>
    </rPh>
    <rPh sb="3" eb="4">
      <t>ケン</t>
    </rPh>
    <rPh sb="4" eb="5">
      <t>ガイ</t>
    </rPh>
    <rPh sb="6" eb="8">
      <t>キョジュウ</t>
    </rPh>
    <rPh sb="8" eb="9">
      <t>マタ</t>
    </rPh>
    <rPh sb="10" eb="12">
      <t>ケンガイ</t>
    </rPh>
    <rPh sb="15" eb="17">
      <t>シュウショク</t>
    </rPh>
    <phoneticPr fontId="1"/>
  </si>
  <si>
    <t>20歳未満</t>
    <rPh sb="2" eb="5">
      <t>サイミマン</t>
    </rPh>
    <phoneticPr fontId="1"/>
  </si>
  <si>
    <t>看護師学校養成所・短期大学（２年課程）</t>
    <rPh sb="0" eb="3">
      <t>カンゴシ</t>
    </rPh>
    <rPh sb="3" eb="5">
      <t>ガッコウ</t>
    </rPh>
    <rPh sb="5" eb="8">
      <t>ヨウセイジョ</t>
    </rPh>
    <rPh sb="9" eb="11">
      <t>タンキ</t>
    </rPh>
    <rPh sb="11" eb="13">
      <t>ダイガク</t>
    </rPh>
    <rPh sb="15" eb="16">
      <t>ネン</t>
    </rPh>
    <rPh sb="16" eb="18">
      <t>カテイ</t>
    </rPh>
    <phoneticPr fontId="1"/>
  </si>
  <si>
    <t>退職はあった</t>
    <rPh sb="0" eb="2">
      <t>タイショク</t>
    </rPh>
    <phoneticPr fontId="1"/>
  </si>
  <si>
    <t>退職はなかった</t>
    <rPh sb="0" eb="2">
      <t>タイショク</t>
    </rPh>
    <phoneticPr fontId="1"/>
  </si>
  <si>
    <t>退職者</t>
    <rPh sb="0" eb="2">
      <t>タイショク</t>
    </rPh>
    <rPh sb="2" eb="3">
      <t>シャ</t>
    </rPh>
    <phoneticPr fontId="1"/>
  </si>
  <si>
    <t>年代</t>
    <rPh sb="0" eb="2">
      <t>ネンダイ</t>
    </rPh>
    <phoneticPr fontId="1"/>
  </si>
  <si>
    <t>1～5年</t>
    <rPh sb="3" eb="4">
      <t>ネン</t>
    </rPh>
    <phoneticPr fontId="1"/>
  </si>
  <si>
    <t>勤務年数</t>
    <rPh sb="0" eb="4">
      <t>キンムネンスウ</t>
    </rPh>
    <phoneticPr fontId="1"/>
  </si>
  <si>
    <t>退職理由</t>
    <rPh sb="0" eb="4">
      <t>タイショクリユウ</t>
    </rPh>
    <phoneticPr fontId="1"/>
  </si>
  <si>
    <t>退職時の年代</t>
    <rPh sb="0" eb="3">
      <t>タイショクジ</t>
    </rPh>
    <rPh sb="4" eb="6">
      <t>ネンダイ</t>
    </rPh>
    <phoneticPr fontId="1"/>
  </si>
  <si>
    <t>退職時の年代</t>
    <rPh sb="0" eb="3">
      <t>タイショクジ</t>
    </rPh>
    <rPh sb="4" eb="6">
      <t>ネンダイ</t>
    </rPh>
    <phoneticPr fontId="1"/>
  </si>
  <si>
    <t>退職年月</t>
    <rPh sb="0" eb="2">
      <t>タイショク</t>
    </rPh>
    <rPh sb="2" eb="4">
      <t>ネンツキ</t>
    </rPh>
    <phoneticPr fontId="1"/>
  </si>
  <si>
    <t>退職年月</t>
    <rPh sb="0" eb="2">
      <t>タイショク</t>
    </rPh>
    <rPh sb="2" eb="3">
      <t>ネン</t>
    </rPh>
    <rPh sb="3" eb="4">
      <t>ツキ</t>
    </rPh>
    <phoneticPr fontId="1"/>
  </si>
  <si>
    <t>１年未満（新卒）</t>
    <rPh sb="1" eb="4">
      <t>ネンミマン</t>
    </rPh>
    <rPh sb="5" eb="7">
      <t>シンソツ</t>
    </rPh>
    <phoneticPr fontId="1"/>
  </si>
  <si>
    <t>１年未満（既卒）</t>
    <rPh sb="1" eb="4">
      <t>ネンミマン</t>
    </rPh>
    <rPh sb="5" eb="7">
      <t>キソツ</t>
    </rPh>
    <phoneticPr fontId="1"/>
  </si>
  <si>
    <t>新卒者の
教育背景</t>
    <rPh sb="0" eb="2">
      <t>シンソツ</t>
    </rPh>
    <rPh sb="2" eb="3">
      <t>シャ</t>
    </rPh>
    <rPh sb="5" eb="7">
      <t>キョウイク</t>
    </rPh>
    <rPh sb="7" eb="9">
      <t>ハイケイ</t>
    </rPh>
    <phoneticPr fontId="1"/>
  </si>
  <si>
    <t>問５　認定看護師、特定行為研修修了看護師、専門看護師、診療看護師（NP）、認定看護管理者について</t>
    <rPh sb="0" eb="1">
      <t>トイ</t>
    </rPh>
    <rPh sb="3" eb="8">
      <t>ニンテイカンゴシ</t>
    </rPh>
    <rPh sb="9" eb="13">
      <t>トクテイコウイ</t>
    </rPh>
    <rPh sb="13" eb="15">
      <t>ケンシュウ</t>
    </rPh>
    <rPh sb="15" eb="17">
      <t>シュウリョウ</t>
    </rPh>
    <rPh sb="17" eb="20">
      <t>カンゴシ</t>
    </rPh>
    <rPh sb="21" eb="23">
      <t>センモン</t>
    </rPh>
    <rPh sb="23" eb="26">
      <t>カンゴシ</t>
    </rPh>
    <rPh sb="27" eb="29">
      <t>シンリョウ</t>
    </rPh>
    <rPh sb="29" eb="32">
      <t>カンゴシ</t>
    </rPh>
    <rPh sb="37" eb="44">
      <t>ニンテイカンゴカンリシャ</t>
    </rPh>
    <phoneticPr fontId="1"/>
  </si>
  <si>
    <t>自己都合退職</t>
    <rPh sb="0" eb="6">
      <t>ジコツゴウタイショク</t>
    </rPh>
    <phoneticPr fontId="1"/>
  </si>
  <si>
    <t>○</t>
  </si>
  <si>
    <t>○</t>
    <phoneticPr fontId="1"/>
  </si>
  <si>
    <t>×</t>
    <phoneticPr fontId="1"/>
  </si>
  <si>
    <t>［採用カテゴリー］</t>
    <rPh sb="1" eb="3">
      <t>サイヨウ</t>
    </rPh>
    <phoneticPr fontId="1"/>
  </si>
  <si>
    <t>［退職カテゴリー］</t>
    <rPh sb="1" eb="3">
      <t>タイショク</t>
    </rPh>
    <phoneticPr fontId="1"/>
  </si>
  <si>
    <t>例）車の運転が不安なため</t>
    <rPh sb="0" eb="1">
      <t>レイ</t>
    </rPh>
    <rPh sb="2" eb="3">
      <t>クルマ</t>
    </rPh>
    <rPh sb="4" eb="6">
      <t>ウンテン</t>
    </rPh>
    <rPh sb="7" eb="9">
      <t>フアン</t>
    </rPh>
    <phoneticPr fontId="1"/>
  </si>
  <si>
    <t>経験の有無※1</t>
    <rPh sb="0" eb="2">
      <t>ケイケン</t>
    </rPh>
    <rPh sb="3" eb="5">
      <t>ウム</t>
    </rPh>
    <phoneticPr fontId="1"/>
  </si>
  <si>
    <t>※1　経験の有無の新卒とは、免許取得後、初めて看護職員として就業した者</t>
    <rPh sb="3" eb="5">
      <t>ケイケン</t>
    </rPh>
    <rPh sb="6" eb="8">
      <t>ウム</t>
    </rPh>
    <rPh sb="9" eb="11">
      <t>シンソツ</t>
    </rPh>
    <rPh sb="34" eb="35">
      <t>モノ</t>
    </rPh>
    <phoneticPr fontId="1"/>
  </si>
  <si>
    <t>県内外からの採用状況※2</t>
    <rPh sb="0" eb="2">
      <t>ケンナイ</t>
    </rPh>
    <rPh sb="2" eb="3">
      <t>ガイ</t>
    </rPh>
    <rPh sb="6" eb="8">
      <t>サイヨウ</t>
    </rPh>
    <rPh sb="8" eb="10">
      <t>ジョウキョウ</t>
    </rPh>
    <phoneticPr fontId="1"/>
  </si>
  <si>
    <t>※2  既卒の県外からの就業者とは、直近１年間、県外に居住又は就業していた者
       （県外から県内に転入後、県内での就業がある場合は、「県内に居住又は就業していた」を選択）</t>
    <rPh sb="4" eb="6">
      <t>キソツ</t>
    </rPh>
    <rPh sb="7" eb="9">
      <t>ケンガイ</t>
    </rPh>
    <rPh sb="12" eb="15">
      <t>シュウギョウシャ</t>
    </rPh>
    <rPh sb="18" eb="20">
      <t>チョッキン</t>
    </rPh>
    <rPh sb="21" eb="22">
      <t>ネン</t>
    </rPh>
    <rPh sb="22" eb="23">
      <t>アイダ</t>
    </rPh>
    <rPh sb="24" eb="26">
      <t>ケンガイ</t>
    </rPh>
    <rPh sb="27" eb="29">
      <t>キョジュウ</t>
    </rPh>
    <rPh sb="29" eb="30">
      <t>マタ</t>
    </rPh>
    <rPh sb="31" eb="33">
      <t>シュウギョウ</t>
    </rPh>
    <rPh sb="37" eb="38">
      <t>モノ</t>
    </rPh>
    <rPh sb="47" eb="49">
      <t>ケンガイ</t>
    </rPh>
    <rPh sb="51" eb="53">
      <t>ケンナイ</t>
    </rPh>
    <rPh sb="54" eb="56">
      <t>テンニュウ</t>
    </rPh>
    <rPh sb="56" eb="57">
      <t>ゴ</t>
    </rPh>
    <rPh sb="58" eb="60">
      <t>ケンナイ</t>
    </rPh>
    <rPh sb="62" eb="64">
      <t>シュウギョウ</t>
    </rPh>
    <rPh sb="67" eb="69">
      <t>バアイ</t>
    </rPh>
    <rPh sb="72" eb="74">
      <t>ケンナイ</t>
    </rPh>
    <rPh sb="75" eb="77">
      <t>キョジュウ</t>
    </rPh>
    <rPh sb="77" eb="78">
      <t>マタ</t>
    </rPh>
    <rPh sb="79" eb="81">
      <t>シュウギョウ</t>
    </rPh>
    <rPh sb="87" eb="89">
      <t>センタク</t>
    </rPh>
    <phoneticPr fontId="1"/>
  </si>
  <si>
    <t>　　　※定年退職は、自己都合に含みません</t>
    <rPh sb="4" eb="8">
      <t>テイネンタイショク</t>
    </rPh>
    <rPh sb="10" eb="14">
      <t>ジコツゴウ</t>
    </rPh>
    <rPh sb="15" eb="16">
      <t>フク</t>
    </rPh>
    <phoneticPr fontId="1"/>
  </si>
  <si>
    <t>　　　※それぞれの選択肢は、右の退職カテゴリーから選択してください。</t>
    <rPh sb="9" eb="12">
      <t>センタクシ</t>
    </rPh>
    <rPh sb="14" eb="15">
      <t>ミギ</t>
    </rPh>
    <rPh sb="16" eb="18">
      <t>タイショク</t>
    </rPh>
    <rPh sb="25" eb="27">
      <t>センタク</t>
    </rPh>
    <phoneticPr fontId="1"/>
  </si>
  <si>
    <t>※２　「0」人を入力された場合は、（３）へお進みください。</t>
    <phoneticPr fontId="1"/>
  </si>
  <si>
    <t>問６　２４時間対応体制について</t>
    <rPh sb="0" eb="1">
      <t>トイ</t>
    </rPh>
    <rPh sb="5" eb="7">
      <t>ジカン</t>
    </rPh>
    <rPh sb="7" eb="9">
      <t>タイオウ</t>
    </rPh>
    <rPh sb="9" eb="11">
      <t>タイセイ</t>
    </rPh>
    <phoneticPr fontId="1"/>
  </si>
  <si>
    <t>２４時間対応体制をとっている</t>
    <rPh sb="2" eb="4">
      <t>ジカン</t>
    </rPh>
    <rPh sb="4" eb="6">
      <t>タイオウ</t>
    </rPh>
    <rPh sb="6" eb="8">
      <t>タイセイ</t>
    </rPh>
    <phoneticPr fontId="1"/>
  </si>
  <si>
    <r>
      <t>自分の</t>
    </r>
    <r>
      <rPr>
        <u/>
        <sz val="11"/>
        <color rgb="FFFF0000"/>
        <rFont val="HG丸ｺﾞｼｯｸM-PRO"/>
        <family val="3"/>
        <charset val="128"/>
      </rPr>
      <t>能力</t>
    </r>
    <r>
      <rPr>
        <u/>
        <vertAlign val="superscript"/>
        <sz val="11"/>
        <color rgb="FFFF0000"/>
        <rFont val="HG丸ｺﾞｼｯｸM-PRO"/>
        <family val="3"/>
        <charset val="128"/>
      </rPr>
      <t>※2</t>
    </r>
    <r>
      <rPr>
        <sz val="11"/>
        <color rgb="FFFF0000"/>
        <rFont val="HG丸ｺﾞｼｯｸM-PRO"/>
        <family val="3"/>
        <charset val="128"/>
      </rPr>
      <t>への不安</t>
    </r>
    <rPh sb="0" eb="2">
      <t>ジブン</t>
    </rPh>
    <rPh sb="3" eb="5">
      <t>ノウリョク</t>
    </rPh>
    <rPh sb="9" eb="11">
      <t>フアン</t>
    </rPh>
    <phoneticPr fontId="1"/>
  </si>
  <si>
    <r>
      <t>自分の</t>
    </r>
    <r>
      <rPr>
        <u/>
        <sz val="11"/>
        <color rgb="FFFF0000"/>
        <rFont val="HG丸ｺﾞｼｯｸM-PRO"/>
        <family val="3"/>
        <charset val="128"/>
      </rPr>
      <t>適性</t>
    </r>
    <r>
      <rPr>
        <u/>
        <vertAlign val="superscript"/>
        <sz val="11"/>
        <color rgb="FFFF0000"/>
        <rFont val="HG丸ｺﾞｼｯｸM-PRO"/>
        <family val="3"/>
        <charset val="128"/>
      </rPr>
      <t>※1</t>
    </r>
    <r>
      <rPr>
        <sz val="11"/>
        <color rgb="FFFF0000"/>
        <rFont val="HG丸ｺﾞｼｯｸM-PRO"/>
        <family val="3"/>
        <charset val="128"/>
      </rPr>
      <t>への不安</t>
    </r>
    <rPh sb="0" eb="2">
      <t>ジブン</t>
    </rPh>
    <rPh sb="3" eb="5">
      <t>テキセイ</t>
    </rPh>
    <rPh sb="9" eb="11">
      <t>フアン</t>
    </rPh>
    <phoneticPr fontId="1"/>
  </si>
  <si>
    <t>※２能力：訪問看護に求められる看護知識、技術、判断など（コミュニケーション能力、アセスメント能力等）</t>
    <rPh sb="2" eb="4">
      <t>ノウリョク</t>
    </rPh>
    <rPh sb="5" eb="7">
      <t>ホウモン</t>
    </rPh>
    <rPh sb="7" eb="9">
      <t>カンゴ</t>
    </rPh>
    <rPh sb="10" eb="11">
      <t>モト</t>
    </rPh>
    <rPh sb="15" eb="17">
      <t>カンゴ</t>
    </rPh>
    <rPh sb="17" eb="19">
      <t>チシキ</t>
    </rPh>
    <rPh sb="20" eb="22">
      <t>ギジュツ</t>
    </rPh>
    <rPh sb="23" eb="25">
      <t>ハンダン</t>
    </rPh>
    <rPh sb="37" eb="39">
      <t>ノウリョク</t>
    </rPh>
    <rPh sb="46" eb="48">
      <t>ノウリョク</t>
    </rPh>
    <rPh sb="48" eb="49">
      <t>ナド</t>
    </rPh>
    <phoneticPr fontId="1"/>
  </si>
  <si>
    <r>
      <t>※１ 適性：自分の価値観や性格等が訪問看護の仕事内容にあっているかどうか</t>
    </r>
    <r>
      <rPr>
        <sz val="10"/>
        <color rgb="FFFF0000"/>
        <rFont val="HG丸ｺﾞｼｯｸM-PRO"/>
        <family val="3"/>
        <charset val="128"/>
      </rPr>
      <t>（向き不向き、やりがい、運転が苦手等）</t>
    </r>
    <rPh sb="3" eb="5">
      <t>テキセイ</t>
    </rPh>
    <rPh sb="6" eb="8">
      <t>ジブン</t>
    </rPh>
    <rPh sb="9" eb="12">
      <t>カチカン</t>
    </rPh>
    <rPh sb="13" eb="16">
      <t>セイカクトウ</t>
    </rPh>
    <rPh sb="17" eb="21">
      <t>ホウモンカンゴ</t>
    </rPh>
    <rPh sb="22" eb="24">
      <t>シゴト</t>
    </rPh>
    <rPh sb="24" eb="26">
      <t>ナイヨウ</t>
    </rPh>
    <rPh sb="37" eb="38">
      <t>ム</t>
    </rPh>
    <rPh sb="39" eb="41">
      <t>フム</t>
    </rPh>
    <rPh sb="48" eb="50">
      <t>ウンテン</t>
    </rPh>
    <rPh sb="51" eb="53">
      <t>ニガテ</t>
    </rPh>
    <rPh sb="53" eb="54">
      <t>トウ</t>
    </rPh>
    <phoneticPr fontId="1"/>
  </si>
  <si>
    <t>正規雇用職員数</t>
    <rPh sb="0" eb="2">
      <t>セイキ</t>
    </rPh>
    <rPh sb="2" eb="4">
      <t>コヨウ</t>
    </rPh>
    <rPh sb="4" eb="7">
      <t>ショクインスウ</t>
    </rPh>
    <phoneticPr fontId="1"/>
  </si>
  <si>
    <t>非正規雇用職員数</t>
    <rPh sb="0" eb="5">
      <t>ヒセイキコヨウ</t>
    </rPh>
    <rPh sb="5" eb="8">
      <t>ショクインスウ</t>
    </rPh>
    <phoneticPr fontId="1"/>
  </si>
  <si>
    <t>職員数（合計）</t>
    <rPh sb="0" eb="3">
      <t>ショクインスウ</t>
    </rPh>
    <rPh sb="4" eb="6">
      <t>ゴウケイ</t>
    </rPh>
    <phoneticPr fontId="1"/>
  </si>
  <si>
    <t>募集の有無</t>
    <rPh sb="0" eb="2">
      <t>ボシュウ</t>
    </rPh>
    <rPh sb="3" eb="5">
      <t>ウム</t>
    </rPh>
    <phoneticPr fontId="1"/>
  </si>
  <si>
    <t>募集・採用あり</t>
    <rPh sb="0" eb="2">
      <t>ボシュウ</t>
    </rPh>
    <rPh sb="3" eb="5">
      <t>サイヨウ</t>
    </rPh>
    <phoneticPr fontId="1"/>
  </si>
  <si>
    <t>募集あり・採用なし</t>
    <rPh sb="0" eb="2">
      <t>ボシュウ</t>
    </rPh>
    <rPh sb="5" eb="7">
      <t>サイヨウ</t>
    </rPh>
    <phoneticPr fontId="1"/>
  </si>
  <si>
    <t>募集・採用なし</t>
    <rPh sb="0" eb="2">
      <t>ボシュウ</t>
    </rPh>
    <rPh sb="3" eb="5">
      <t>サイヨウ</t>
    </rPh>
    <phoneticPr fontId="1"/>
  </si>
  <si>
    <t>募集（正規雇用職員）</t>
    <rPh sb="0" eb="2">
      <t>ボシュウ</t>
    </rPh>
    <rPh sb="3" eb="5">
      <t>セイキ</t>
    </rPh>
    <rPh sb="5" eb="7">
      <t>コヨウ</t>
    </rPh>
    <rPh sb="7" eb="9">
      <t>ショクイン</t>
    </rPh>
    <phoneticPr fontId="1"/>
  </si>
  <si>
    <t>募集（非正規雇用職員）</t>
    <rPh sb="0" eb="2">
      <t>ボシュウ</t>
    </rPh>
    <rPh sb="3" eb="8">
      <t>ヒセイキコヨウ</t>
    </rPh>
    <rPh sb="8" eb="10">
      <t>ショクイン</t>
    </rPh>
    <phoneticPr fontId="1"/>
  </si>
  <si>
    <t>採用（正規雇用職員）</t>
    <rPh sb="0" eb="2">
      <t>サイヨウ</t>
    </rPh>
    <rPh sb="3" eb="9">
      <t>セイキコヨウショクイン</t>
    </rPh>
    <phoneticPr fontId="1"/>
  </si>
  <si>
    <t>採用（非正規雇用職員）</t>
    <rPh sb="0" eb="2">
      <t>サイヨウ</t>
    </rPh>
    <rPh sb="3" eb="10">
      <t>ヒセイキコヨウショクイン</t>
    </rPh>
    <phoneticPr fontId="1"/>
  </si>
  <si>
    <t>問２　職員の就業状況</t>
    <rPh sb="0" eb="1">
      <t>トイ</t>
    </rPh>
    <rPh sb="3" eb="5">
      <t>ショクイン</t>
    </rPh>
    <rPh sb="6" eb="10">
      <t>シュウギョウジョウキョウ</t>
    </rPh>
    <phoneticPr fontId="1"/>
  </si>
  <si>
    <r>
      <t>（１）</t>
    </r>
    <r>
      <rPr>
        <b/>
        <sz val="11"/>
        <color rgb="FFFF0000"/>
        <rFont val="ＭＳ Ｐゴシック"/>
        <family val="3"/>
        <charset val="128"/>
      </rPr>
      <t>令和６年度</t>
    </r>
    <r>
      <rPr>
        <b/>
        <sz val="11"/>
        <color theme="1"/>
        <rFont val="ＭＳ Ｐゴシック"/>
        <family val="3"/>
        <charset val="128"/>
      </rPr>
      <t>（R6.4.1～R7.3.31）、看護職員の募集・採用はありましたか。</t>
    </r>
    <rPh sb="25" eb="29">
      <t>カンゴショクイン</t>
    </rPh>
    <rPh sb="30" eb="32">
      <t>ボシュウ</t>
    </rPh>
    <rPh sb="33" eb="35">
      <t>サイヨウ</t>
    </rPh>
    <phoneticPr fontId="1"/>
  </si>
  <si>
    <t>（２）募集状況（人数）について記入してください。</t>
    <phoneticPr fontId="1"/>
  </si>
  <si>
    <t>（３）採用した看護職員の状況について記入してください。</t>
    <rPh sb="3" eb="5">
      <t>サイヨウ</t>
    </rPh>
    <rPh sb="7" eb="10">
      <t>カンゴショク</t>
    </rPh>
    <rPh sb="10" eb="11">
      <t>イン</t>
    </rPh>
    <rPh sb="12" eb="14">
      <t>ジョウキョウ</t>
    </rPh>
    <rPh sb="18" eb="20">
      <t>キニュウ</t>
    </rPh>
    <phoneticPr fontId="1"/>
  </si>
  <si>
    <r>
      <t>（１）</t>
    </r>
    <r>
      <rPr>
        <b/>
        <sz val="11"/>
        <color rgb="FFFF0000"/>
        <rFont val="ＭＳ Ｐゴシック"/>
        <family val="3"/>
        <charset val="128"/>
      </rPr>
      <t>令和６年度</t>
    </r>
    <r>
      <rPr>
        <b/>
        <sz val="11"/>
        <color theme="1"/>
        <rFont val="ＭＳ Ｐゴシック"/>
        <family val="3"/>
        <charset val="128"/>
      </rPr>
      <t>（R6.4.1～R7.3.31）、看護職員の退職はありましたか。</t>
    </r>
    <phoneticPr fontId="1"/>
  </si>
  <si>
    <t>（２）退職した看護職員の状況について記入してください。</t>
    <rPh sb="3" eb="5">
      <t>タイショク</t>
    </rPh>
    <rPh sb="7" eb="10">
      <t>カンゴショク</t>
    </rPh>
    <rPh sb="10" eb="11">
      <t>イン</t>
    </rPh>
    <rPh sb="12" eb="14">
      <t>ジョウキョウ</t>
    </rPh>
    <rPh sb="18" eb="20">
      <t>キニュウ</t>
    </rPh>
    <phoneticPr fontId="1"/>
  </si>
  <si>
    <t>（３）退職理由が「その他」の場合、その理由を記入してください。</t>
    <rPh sb="3" eb="7">
      <t>タイショクリユウ</t>
    </rPh>
    <rPh sb="11" eb="12">
      <t>タ</t>
    </rPh>
    <rPh sb="14" eb="16">
      <t>バアイ</t>
    </rPh>
    <rPh sb="19" eb="21">
      <t>リユウ</t>
    </rPh>
    <rPh sb="22" eb="24">
      <t>キニュウ</t>
    </rPh>
    <phoneticPr fontId="1"/>
  </si>
  <si>
    <t>採用（合計）</t>
    <rPh sb="0" eb="2">
      <t>サイヨウ</t>
    </rPh>
    <rPh sb="3" eb="5">
      <t>ゴウケイ</t>
    </rPh>
    <phoneticPr fontId="1"/>
  </si>
  <si>
    <t>Ｒ６年４月１日看護職員</t>
    <rPh sb="2" eb="3">
      <t>ネン</t>
    </rPh>
    <rPh sb="4" eb="5">
      <t>ガツ</t>
    </rPh>
    <rPh sb="6" eb="7">
      <t>ニチ</t>
    </rPh>
    <rPh sb="7" eb="11">
      <t>カンゴショクイン</t>
    </rPh>
    <phoneticPr fontId="1"/>
  </si>
  <si>
    <t>募集人数</t>
    <rPh sb="0" eb="4">
      <t>ボシュウニンズウ</t>
    </rPh>
    <phoneticPr fontId="1"/>
  </si>
  <si>
    <t>採用状況（職種別）</t>
    <rPh sb="0" eb="4">
      <t>サイヨウジョウキョウ</t>
    </rPh>
    <rPh sb="5" eb="8">
      <t>ショクシュベツ</t>
    </rPh>
    <phoneticPr fontId="1"/>
  </si>
  <si>
    <t>募集（合計）</t>
    <rPh sb="0" eb="2">
      <t>ボシュウ</t>
    </rPh>
    <rPh sb="3" eb="5">
      <t>ゴウケイ</t>
    </rPh>
    <phoneticPr fontId="1"/>
  </si>
  <si>
    <t>採用時年齢（正規）</t>
    <rPh sb="0" eb="5">
      <t>サイヨウジネンレイ</t>
    </rPh>
    <rPh sb="6" eb="8">
      <t>セイキ</t>
    </rPh>
    <phoneticPr fontId="1"/>
  </si>
  <si>
    <t>採用時年齢（非正規）</t>
    <rPh sb="0" eb="5">
      <t>サイヨウジネンレイ</t>
    </rPh>
    <rPh sb="6" eb="9">
      <t>ヒセイキ</t>
    </rPh>
    <phoneticPr fontId="1"/>
  </si>
  <si>
    <t>採用時年齢（合計）</t>
    <rPh sb="0" eb="5">
      <t>サイヨウジネンレイ</t>
    </rPh>
    <rPh sb="6" eb="8">
      <t>ゴウケイ</t>
    </rPh>
    <phoneticPr fontId="1"/>
  </si>
  <si>
    <t>新卒者採用</t>
    <rPh sb="0" eb="3">
      <t>シンソツシャ</t>
    </rPh>
    <rPh sb="3" eb="5">
      <t>サイヨウ</t>
    </rPh>
    <phoneticPr fontId="1"/>
  </si>
  <si>
    <t>新卒者（正規）</t>
    <rPh sb="0" eb="3">
      <t>シンソツシャ</t>
    </rPh>
    <rPh sb="4" eb="6">
      <t>セイキ</t>
    </rPh>
    <phoneticPr fontId="1"/>
  </si>
  <si>
    <t>新卒者（非正規）</t>
    <rPh sb="0" eb="3">
      <t>シンソツシャ</t>
    </rPh>
    <rPh sb="4" eb="7">
      <t>ヒセイキ</t>
    </rPh>
    <phoneticPr fontId="1"/>
  </si>
  <si>
    <t>新卒者（合計）</t>
    <rPh sb="0" eb="3">
      <t>シンソツシャ</t>
    </rPh>
    <rPh sb="4" eb="6">
      <t>ゴウケイ</t>
    </rPh>
    <phoneticPr fontId="1"/>
  </si>
  <si>
    <t>退職人数（非正規）</t>
    <rPh sb="0" eb="2">
      <t>タイショク</t>
    </rPh>
    <rPh sb="2" eb="4">
      <t>ニンズウ</t>
    </rPh>
    <rPh sb="5" eb="8">
      <t>ヒセイキ</t>
    </rPh>
    <phoneticPr fontId="1"/>
  </si>
  <si>
    <t>退職人数（正規）</t>
    <rPh sb="0" eb="2">
      <t>タイショク</t>
    </rPh>
    <rPh sb="2" eb="4">
      <t>ニンズウ</t>
    </rPh>
    <rPh sb="5" eb="7">
      <t>セイキ</t>
    </rPh>
    <phoneticPr fontId="1"/>
  </si>
  <si>
    <t>退職人数（合計）</t>
    <rPh sb="0" eb="2">
      <t>タイショク</t>
    </rPh>
    <rPh sb="2" eb="4">
      <t>ニンズウ</t>
    </rPh>
    <rPh sb="5" eb="7">
      <t>ゴウケイ</t>
    </rPh>
    <phoneticPr fontId="1"/>
  </si>
  <si>
    <t>退職の有無</t>
    <rPh sb="0" eb="2">
      <t>タイショク</t>
    </rPh>
    <rPh sb="3" eb="5">
      <t>ウム</t>
    </rPh>
    <phoneticPr fontId="1"/>
  </si>
  <si>
    <r>
      <t>問３　看護職員の募集・採用状況</t>
    </r>
    <r>
      <rPr>
        <b/>
        <u/>
        <sz val="11"/>
        <color theme="1"/>
        <rFont val="ＭＳ Ｐゴシック"/>
        <family val="3"/>
        <charset val="128"/>
      </rPr>
      <t>（令６年４月１日～令和７年３月３１日）</t>
    </r>
    <rPh sb="0" eb="1">
      <t>トイ</t>
    </rPh>
    <rPh sb="3" eb="7">
      <t>カンゴショクイン</t>
    </rPh>
    <rPh sb="8" eb="10">
      <t>ボシュウ</t>
    </rPh>
    <rPh sb="11" eb="13">
      <t>サイヨウ</t>
    </rPh>
    <rPh sb="13" eb="15">
      <t>ジョウキョウ</t>
    </rPh>
    <rPh sb="16" eb="17">
      <t>レイ</t>
    </rPh>
    <rPh sb="18" eb="19">
      <t>ネン</t>
    </rPh>
    <rPh sb="20" eb="21">
      <t>ガツ</t>
    </rPh>
    <rPh sb="22" eb="23">
      <t>ニチ</t>
    </rPh>
    <rPh sb="24" eb="26">
      <t>レイワ</t>
    </rPh>
    <rPh sb="27" eb="28">
      <t>ネン</t>
    </rPh>
    <rPh sb="29" eb="30">
      <t>ガツ</t>
    </rPh>
    <rPh sb="32" eb="33">
      <t>ニチ</t>
    </rPh>
    <phoneticPr fontId="1"/>
  </si>
  <si>
    <t>退職有</t>
    <rPh sb="0" eb="3">
      <t>タイショクアリ</t>
    </rPh>
    <phoneticPr fontId="1"/>
  </si>
  <si>
    <t>退職無</t>
    <rPh sb="0" eb="3">
      <t>タイショクナシ</t>
    </rPh>
    <phoneticPr fontId="1"/>
  </si>
  <si>
    <t>×</t>
  </si>
  <si>
    <r>
      <t>自分の</t>
    </r>
    <r>
      <rPr>
        <u/>
        <sz val="11"/>
        <rFont val="ＭＳ Ｐゴシック"/>
        <family val="3"/>
        <charset val="128"/>
      </rPr>
      <t>適性</t>
    </r>
    <r>
      <rPr>
        <u/>
        <vertAlign val="superscript"/>
        <sz val="11"/>
        <rFont val="ＭＳ Ｐゴシック"/>
        <family val="3"/>
        <charset val="128"/>
      </rPr>
      <t>※1</t>
    </r>
    <r>
      <rPr>
        <sz val="11"/>
        <rFont val="ＭＳ Ｐゴシック"/>
        <family val="3"/>
        <charset val="128"/>
      </rPr>
      <t>への不安</t>
    </r>
    <rPh sb="0" eb="2">
      <t>ジブン</t>
    </rPh>
    <rPh sb="3" eb="5">
      <t>テキセイ</t>
    </rPh>
    <rPh sb="9" eb="11">
      <t>フアン</t>
    </rPh>
    <phoneticPr fontId="1"/>
  </si>
  <si>
    <r>
      <t>自分の</t>
    </r>
    <r>
      <rPr>
        <u/>
        <sz val="11"/>
        <rFont val="ＭＳ Ｐゴシック"/>
        <family val="3"/>
        <charset val="128"/>
      </rPr>
      <t>能力</t>
    </r>
    <r>
      <rPr>
        <u/>
        <vertAlign val="superscript"/>
        <sz val="11"/>
        <rFont val="ＭＳ Ｐゴシック"/>
        <family val="3"/>
        <charset val="128"/>
      </rPr>
      <t>※2</t>
    </r>
    <r>
      <rPr>
        <sz val="11"/>
        <rFont val="ＭＳ Ｐゴシック"/>
        <family val="3"/>
        <charset val="128"/>
      </rPr>
      <t>への不安</t>
    </r>
    <rPh sb="0" eb="2">
      <t>ジブン</t>
    </rPh>
    <rPh sb="3" eb="5">
      <t>ノウリョク</t>
    </rPh>
    <rPh sb="9" eb="11">
      <t>フアン</t>
    </rPh>
    <phoneticPr fontId="1"/>
  </si>
  <si>
    <t>退職時勤務年数（正規）</t>
    <rPh sb="0" eb="2">
      <t>タイショク</t>
    </rPh>
    <rPh sb="2" eb="3">
      <t>ジ</t>
    </rPh>
    <rPh sb="3" eb="5">
      <t>キンム</t>
    </rPh>
    <rPh sb="5" eb="7">
      <t>ネンスウ</t>
    </rPh>
    <rPh sb="8" eb="10">
      <t>セイキ</t>
    </rPh>
    <phoneticPr fontId="1"/>
  </si>
  <si>
    <t>退職時勤務年数（非正規）</t>
    <rPh sb="0" eb="2">
      <t>タイショク</t>
    </rPh>
    <rPh sb="2" eb="3">
      <t>ジ</t>
    </rPh>
    <rPh sb="3" eb="5">
      <t>キンム</t>
    </rPh>
    <rPh sb="5" eb="7">
      <t>ネンスウ</t>
    </rPh>
    <rPh sb="8" eb="11">
      <t>ヒセイキ</t>
    </rPh>
    <phoneticPr fontId="1"/>
  </si>
  <si>
    <t>退職時勤務年数（合計）</t>
    <rPh sb="0" eb="2">
      <t>タイショク</t>
    </rPh>
    <rPh sb="2" eb="3">
      <t>ジ</t>
    </rPh>
    <rPh sb="3" eb="5">
      <t>キンム</t>
    </rPh>
    <rPh sb="5" eb="7">
      <t>ネンスウ</t>
    </rPh>
    <rPh sb="8" eb="10">
      <t>ゴウケイ</t>
    </rPh>
    <phoneticPr fontId="1"/>
  </si>
  <si>
    <t>退職年齢（正規）</t>
    <rPh sb="0" eb="4">
      <t>タイショクネンレイ</t>
    </rPh>
    <rPh sb="5" eb="7">
      <t>セイキ</t>
    </rPh>
    <phoneticPr fontId="1"/>
  </si>
  <si>
    <t>退職年齢（非正規）</t>
    <rPh sb="0" eb="4">
      <t>タイショクネンレイ</t>
    </rPh>
    <rPh sb="5" eb="8">
      <t>ヒセイキ</t>
    </rPh>
    <phoneticPr fontId="1"/>
  </si>
  <si>
    <t>退職年齢（合計）</t>
    <rPh sb="0" eb="4">
      <t>タイショクネンレイ</t>
    </rPh>
    <rPh sb="5" eb="7">
      <t>ゴウケイ</t>
    </rPh>
    <phoneticPr fontId="1"/>
  </si>
  <si>
    <t>退職理由（正規）</t>
    <rPh sb="0" eb="4">
      <t>タイショクリユウ</t>
    </rPh>
    <rPh sb="5" eb="7">
      <t>セイキ</t>
    </rPh>
    <phoneticPr fontId="1"/>
  </si>
  <si>
    <t>退職理由（非正規）</t>
    <rPh sb="0" eb="4">
      <t>タイショクリユウ</t>
    </rPh>
    <rPh sb="5" eb="8">
      <t>ヒセイキ</t>
    </rPh>
    <phoneticPr fontId="1"/>
  </si>
  <si>
    <t>退職理由（合計）</t>
    <rPh sb="0" eb="4">
      <t>タイショクリユウ</t>
    </rPh>
    <rPh sb="5" eb="7">
      <t>ゴウケイ</t>
    </rPh>
    <phoneticPr fontId="1"/>
  </si>
  <si>
    <t>准看護師</t>
    <rPh sb="0" eb="1">
      <t>ジュン</t>
    </rPh>
    <rPh sb="1" eb="4">
      <t>カンゴシ</t>
    </rPh>
    <phoneticPr fontId="1"/>
  </si>
  <si>
    <t>新卒採用者（正規）</t>
    <rPh sb="0" eb="2">
      <t>シンソツ</t>
    </rPh>
    <rPh sb="2" eb="5">
      <t>サイヨウシャ</t>
    </rPh>
    <rPh sb="6" eb="8">
      <t>セイキ</t>
    </rPh>
    <phoneticPr fontId="1"/>
  </si>
  <si>
    <r>
      <t>自分の</t>
    </r>
    <r>
      <rPr>
        <u/>
        <sz val="9"/>
        <rFont val="ＭＳ Ｐゴシック"/>
        <family val="3"/>
        <charset val="128"/>
      </rPr>
      <t>能力</t>
    </r>
    <r>
      <rPr>
        <u/>
        <vertAlign val="superscript"/>
        <sz val="9"/>
        <rFont val="ＭＳ Ｐゴシック"/>
        <family val="3"/>
        <charset val="128"/>
      </rPr>
      <t>※2</t>
    </r>
    <r>
      <rPr>
        <sz val="9"/>
        <rFont val="ＭＳ Ｐゴシック"/>
        <family val="3"/>
        <charset val="128"/>
      </rPr>
      <t>への不安</t>
    </r>
    <rPh sb="0" eb="2">
      <t>ジブン</t>
    </rPh>
    <rPh sb="3" eb="5">
      <t>ノウリョク</t>
    </rPh>
    <rPh sb="9" eb="11">
      <t>フアン</t>
    </rPh>
    <phoneticPr fontId="1"/>
  </si>
  <si>
    <t>新卒者の教育背景※3</t>
    <rPh sb="0" eb="2">
      <t>シンソツ</t>
    </rPh>
    <rPh sb="2" eb="3">
      <t>シャ</t>
    </rPh>
    <rPh sb="4" eb="8">
      <t>キョウイクハイケイ</t>
    </rPh>
    <phoneticPr fontId="1"/>
  </si>
  <si>
    <t>※3　新卒者の教育背景とは、免許を取得した養成施設</t>
    <rPh sb="3" eb="6">
      <t>シンソツシャ</t>
    </rPh>
    <rPh sb="7" eb="11">
      <t>キョウイクハイケイ</t>
    </rPh>
    <rPh sb="14" eb="16">
      <t>メンキョ</t>
    </rPh>
    <rPh sb="17" eb="19">
      <t>シュトク</t>
    </rPh>
    <rPh sb="21" eb="25">
      <t>ヨウセイシセツ</t>
    </rPh>
    <phoneticPr fontId="1"/>
  </si>
  <si>
    <t>助産養成・別科</t>
    <rPh sb="0" eb="2">
      <t>ジョサン</t>
    </rPh>
    <rPh sb="2" eb="4">
      <t>ヨウセイ</t>
    </rPh>
    <rPh sb="5" eb="7">
      <t>ベッカ</t>
    </rPh>
    <phoneticPr fontId="1"/>
  </si>
  <si>
    <t>助産師養成等（別科含）</t>
    <rPh sb="0" eb="3">
      <t>ジョサンシ</t>
    </rPh>
    <rPh sb="3" eb="5">
      <t>ヨウセイ</t>
    </rPh>
    <rPh sb="5" eb="6">
      <t>トウ</t>
    </rPh>
    <rPh sb="7" eb="9">
      <t>ベッカ</t>
    </rPh>
    <rPh sb="9" eb="10">
      <t>フク</t>
    </rPh>
    <phoneticPr fontId="1"/>
  </si>
  <si>
    <t>准看養成所</t>
    <rPh sb="0" eb="2">
      <t>ジュンカン</t>
    </rPh>
    <rPh sb="2" eb="5">
      <t>ヨウセイショ</t>
    </rPh>
    <phoneticPr fontId="1"/>
  </si>
  <si>
    <t>新卒採用者（非正規）</t>
    <rPh sb="0" eb="2">
      <t>シンソツ</t>
    </rPh>
    <rPh sb="2" eb="5">
      <t>サイヨウシャ</t>
    </rPh>
    <rPh sb="6" eb="7">
      <t>ヒ</t>
    </rPh>
    <rPh sb="7" eb="9">
      <t>セイキ</t>
    </rPh>
    <phoneticPr fontId="1"/>
  </si>
  <si>
    <t>新卒採用者（合計）</t>
    <rPh sb="0" eb="2">
      <t>シンソツ</t>
    </rPh>
    <rPh sb="2" eb="5">
      <t>サイヨウシャ</t>
    </rPh>
    <rPh sb="6" eb="8">
      <t>ゴウケイ</t>
    </rPh>
    <phoneticPr fontId="1"/>
  </si>
  <si>
    <t>B課程人数</t>
    <rPh sb="1" eb="3">
      <t>カテイ</t>
    </rPh>
    <rPh sb="3" eb="5">
      <t>ニンズウ</t>
    </rPh>
    <phoneticPr fontId="1"/>
  </si>
  <si>
    <t>（１）事業所（ステーション）名、調査票記入者の氏名、役職等を記入してください。</t>
    <rPh sb="3" eb="6">
      <t>ジギョウショ</t>
    </rPh>
    <rPh sb="14" eb="15">
      <t>メイ</t>
    </rPh>
    <rPh sb="16" eb="19">
      <t>チョウサヒョウ</t>
    </rPh>
    <rPh sb="19" eb="22">
      <t>キニュウシャ</t>
    </rPh>
    <rPh sb="23" eb="25">
      <t>シメイ</t>
    </rPh>
    <rPh sb="26" eb="29">
      <t>ヤクショクナド</t>
    </rPh>
    <rPh sb="30" eb="32">
      <t>キニュウ</t>
    </rPh>
    <phoneticPr fontId="1"/>
  </si>
  <si>
    <t>事業所名（法人名等不要）</t>
    <rPh sb="0" eb="3">
      <t>ジギョウショ</t>
    </rPh>
    <rPh sb="3" eb="4">
      <t>メイ</t>
    </rPh>
    <rPh sb="5" eb="8">
      <t>ホウジンメイ</t>
    </rPh>
    <rPh sb="8" eb="9">
      <t>ナド</t>
    </rPh>
    <rPh sb="9" eb="11">
      <t>フヨウ</t>
    </rPh>
    <phoneticPr fontId="1"/>
  </si>
  <si>
    <t>平成</t>
    <rPh sb="0" eb="2">
      <t>ヘイセイ</t>
    </rPh>
    <phoneticPr fontId="1"/>
  </si>
  <si>
    <t>令和</t>
    <rPh sb="0" eb="2">
      <t>レイワ</t>
    </rPh>
    <phoneticPr fontId="1"/>
  </si>
  <si>
    <t>年号</t>
    <rPh sb="0" eb="2">
      <t>ネンゴウ</t>
    </rPh>
    <phoneticPr fontId="1"/>
  </si>
  <si>
    <t>クリック</t>
    <phoneticPr fontId="1"/>
  </si>
  <si>
    <t>月</t>
    <rPh sb="0" eb="1">
      <t>ツキ</t>
    </rPh>
    <phoneticPr fontId="1"/>
  </si>
  <si>
    <t>5　管理</t>
    <rPh sb="2" eb="4">
      <t>カンリ</t>
    </rPh>
    <phoneticPr fontId="1"/>
  </si>
  <si>
    <t>認定看護管理者</t>
    <rPh sb="0" eb="7">
      <t>ニンテイカンゴカンリシャ</t>
    </rPh>
    <phoneticPr fontId="1"/>
  </si>
  <si>
    <t>6　24時間対応体制</t>
    <rPh sb="4" eb="10">
      <t>ジカンタイオウタイセイ</t>
    </rPh>
    <phoneticPr fontId="1"/>
  </si>
  <si>
    <t>体制あり</t>
    <rPh sb="0" eb="2">
      <t>タイセイ</t>
    </rPh>
    <phoneticPr fontId="1"/>
  </si>
  <si>
    <t>体制なし</t>
    <rPh sb="0" eb="2">
      <t>タイセイ</t>
    </rPh>
    <phoneticPr fontId="1"/>
  </si>
  <si>
    <t>対応の有無</t>
    <rPh sb="0" eb="2">
      <t>タイオウ</t>
    </rPh>
    <rPh sb="3" eb="5">
      <t>ウム</t>
    </rPh>
    <phoneticPr fontId="1"/>
  </si>
  <si>
    <t>方法</t>
    <rPh sb="0" eb="2">
      <t>ホウホウ</t>
    </rPh>
    <phoneticPr fontId="1"/>
  </si>
  <si>
    <t>電話</t>
    <rPh sb="0" eb="2">
      <t>デンワ</t>
    </rPh>
    <phoneticPr fontId="1"/>
  </si>
  <si>
    <t>訪問</t>
    <rPh sb="0" eb="2">
      <t>ホウモン</t>
    </rPh>
    <phoneticPr fontId="1"/>
  </si>
  <si>
    <t>その他</t>
    <rPh sb="2" eb="3">
      <t>タ</t>
    </rPh>
    <phoneticPr fontId="1"/>
  </si>
  <si>
    <t>内容</t>
    <rPh sb="0" eb="2">
      <t>ナイヨウ</t>
    </rPh>
    <phoneticPr fontId="1"/>
  </si>
  <si>
    <t>実績</t>
    <rPh sb="0" eb="2">
      <t>ジッセキ</t>
    </rPh>
    <phoneticPr fontId="1"/>
  </si>
  <si>
    <t>有</t>
    <rPh sb="0" eb="1">
      <t>アリ</t>
    </rPh>
    <phoneticPr fontId="1"/>
  </si>
  <si>
    <t>無</t>
    <rPh sb="0" eb="1">
      <t>ナシ</t>
    </rPh>
    <phoneticPr fontId="1"/>
  </si>
  <si>
    <r>
      <t>（４）</t>
    </r>
    <r>
      <rPr>
        <b/>
        <u/>
        <sz val="11"/>
        <color theme="1"/>
        <rFont val="ＭＳ Ｐゴシック"/>
        <family val="3"/>
        <charset val="128"/>
      </rPr>
      <t>令和６年４月１日現在の看護職員数</t>
    </r>
    <r>
      <rPr>
        <b/>
        <sz val="11"/>
        <color theme="1"/>
        <rFont val="ＭＳ Ｐゴシック"/>
        <family val="3"/>
        <charset val="128"/>
      </rPr>
      <t>（令和６年４月１日付の採用者除く）を記入してください。</t>
    </r>
    <rPh sb="3" eb="5">
      <t>レイワ</t>
    </rPh>
    <rPh sb="6" eb="7">
      <t>ネン</t>
    </rPh>
    <rPh sb="8" eb="9">
      <t>ガツ</t>
    </rPh>
    <rPh sb="10" eb="13">
      <t>ニチゲンザイ</t>
    </rPh>
    <rPh sb="14" eb="16">
      <t>カンゴ</t>
    </rPh>
    <rPh sb="16" eb="18">
      <t>ショクイン</t>
    </rPh>
    <rPh sb="18" eb="19">
      <t>スウ</t>
    </rPh>
    <rPh sb="20" eb="22">
      <t>レイワ</t>
    </rPh>
    <rPh sb="23" eb="24">
      <t>ネン</t>
    </rPh>
    <rPh sb="25" eb="26">
      <t>ガツ</t>
    </rPh>
    <rPh sb="27" eb="29">
      <t>ニチヅケ</t>
    </rPh>
    <rPh sb="30" eb="33">
      <t>サイヨウシャ</t>
    </rPh>
    <rPh sb="33" eb="34">
      <t>ノゾ</t>
    </rPh>
    <rPh sb="37" eb="39">
      <t>キニュウ</t>
    </rPh>
    <phoneticPr fontId="1"/>
  </si>
  <si>
    <t>Ｒ６新規開設</t>
    <rPh sb="2" eb="6">
      <t>シンキカイセツ</t>
    </rPh>
    <phoneticPr fontId="1"/>
  </si>
  <si>
    <r>
      <t>（３）</t>
    </r>
    <r>
      <rPr>
        <b/>
        <sz val="11"/>
        <color rgb="FFFF0000"/>
        <rFont val="ＭＳ Ｐゴシック"/>
        <family val="3"/>
        <charset val="128"/>
      </rPr>
      <t>令和６年度</t>
    </r>
    <r>
      <rPr>
        <b/>
        <sz val="11"/>
        <color theme="1"/>
        <rFont val="ＭＳ Ｐゴシック"/>
        <family val="3"/>
        <charset val="128"/>
      </rPr>
      <t>（R6.4.1～R7.3.31）に</t>
    </r>
    <r>
      <rPr>
        <b/>
        <sz val="11"/>
        <color rgb="FFFF0000"/>
        <rFont val="ＭＳ Ｐゴシック"/>
        <family val="3"/>
        <charset val="128"/>
      </rPr>
      <t>新規開設</t>
    </r>
    <r>
      <rPr>
        <b/>
        <sz val="11"/>
        <color theme="1"/>
        <rFont val="ＭＳ Ｐゴシック"/>
        <family val="3"/>
        <charset val="128"/>
      </rPr>
      <t>されましたか。</t>
    </r>
    <rPh sb="25" eb="27">
      <t>シンキ</t>
    </rPh>
    <rPh sb="27" eb="29">
      <t>カイセツ</t>
    </rPh>
    <phoneticPr fontId="1"/>
  </si>
  <si>
    <t>Ｒ６年度に新規開設した</t>
    <rPh sb="2" eb="4">
      <t>ネンド</t>
    </rPh>
    <rPh sb="5" eb="9">
      <t>シンキカイセツ</t>
    </rPh>
    <phoneticPr fontId="1"/>
  </si>
  <si>
    <t>事業所名</t>
    <rPh sb="0" eb="3">
      <t>ジギョウショ</t>
    </rPh>
    <rPh sb="3" eb="4">
      <t>メイ</t>
    </rPh>
    <phoneticPr fontId="1"/>
  </si>
  <si>
    <t>自己都合</t>
    <rPh sb="0" eb="4">
      <t>ジコツゴウ</t>
    </rPh>
    <phoneticPr fontId="1"/>
  </si>
  <si>
    <t>令和　　年　　月　　日</t>
    <rPh sb="0" eb="2">
      <t>レイワ</t>
    </rPh>
    <rPh sb="4" eb="5">
      <t>ネン</t>
    </rPh>
    <rPh sb="7" eb="8">
      <t>ガツ</t>
    </rPh>
    <rPh sb="10" eb="11">
      <t>ニチ</t>
    </rPh>
    <phoneticPr fontId="1"/>
  </si>
  <si>
    <t>自己都合の主な退職理由</t>
    <rPh sb="0" eb="4">
      <t>ジコツゴウ</t>
    </rPh>
    <rPh sb="5" eb="6">
      <t>オモ</t>
    </rPh>
    <rPh sb="7" eb="11">
      <t>タイショクリユウ</t>
    </rPh>
    <phoneticPr fontId="1"/>
  </si>
  <si>
    <r>
      <t>（６）</t>
    </r>
    <r>
      <rPr>
        <b/>
        <sz val="11"/>
        <color rgb="FFFF0000"/>
        <rFont val="ＭＳ Ｐゴシック"/>
        <family val="3"/>
        <charset val="128"/>
      </rPr>
      <t>（４）で「派遣していない」を選択した場合、</t>
    </r>
    <r>
      <rPr>
        <b/>
        <sz val="11"/>
        <color theme="1"/>
        <rFont val="ＭＳ Ｐゴシック"/>
        <family val="3"/>
        <charset val="128"/>
      </rPr>
      <t>その理由について教えてください。（※ 複数回答可）</t>
    </r>
    <rPh sb="8" eb="10">
      <t>ハケン</t>
    </rPh>
    <rPh sb="17" eb="19">
      <t>センタク</t>
    </rPh>
    <rPh sb="21" eb="23">
      <t>バアイ</t>
    </rPh>
    <rPh sb="26" eb="28">
      <t>リユウ</t>
    </rPh>
    <rPh sb="32" eb="33">
      <t>オシ</t>
    </rPh>
    <rPh sb="43" eb="48">
      <t>フクスウカイトウカ</t>
    </rPh>
    <phoneticPr fontId="1"/>
  </si>
  <si>
    <t>（１）専門看護師認定者数を教えてください。</t>
    <rPh sb="3" eb="11">
      <t>センモンカンゴシニンテイシャ</t>
    </rPh>
    <phoneticPr fontId="1"/>
  </si>
  <si>
    <r>
      <t>※それぞれの選択肢は、</t>
    </r>
    <r>
      <rPr>
        <sz val="11"/>
        <color rgb="FFFF0000"/>
        <rFont val="ＭＳ Ｐゴシック"/>
        <family val="3"/>
        <charset val="128"/>
      </rPr>
      <t>右の採用カテゴリーから選択</t>
    </r>
    <r>
      <rPr>
        <sz val="11"/>
        <color theme="1"/>
        <rFont val="ＭＳ Ｐゴシック"/>
        <family val="3"/>
        <charset val="128"/>
      </rPr>
      <t>してください。</t>
    </r>
    <rPh sb="6" eb="9">
      <t>センタクシ</t>
    </rPh>
    <rPh sb="11" eb="12">
      <t>ミギ</t>
    </rPh>
    <rPh sb="13" eb="15">
      <t>サイヨウ</t>
    </rPh>
    <rPh sb="22" eb="24">
      <t>センタク</t>
    </rPh>
    <phoneticPr fontId="1"/>
  </si>
  <si>
    <t>（１）２４時間対応できる体制をとっていますか</t>
    <rPh sb="5" eb="7">
      <t>ジカン</t>
    </rPh>
    <rPh sb="7" eb="9">
      <t>タイオウ</t>
    </rPh>
    <rPh sb="12" eb="14">
      <t>タイセイ</t>
    </rPh>
    <phoneticPr fontId="1"/>
  </si>
  <si>
    <t>（２）（１）で「２４時間対応体制をとっている」を選択した場合、その提供内容を教えてください。（複数回答可）</t>
    <rPh sb="12" eb="14">
      <t>タイオウ</t>
    </rPh>
    <rPh sb="33" eb="37">
      <t>テイキョウナイヨウ</t>
    </rPh>
    <rPh sb="47" eb="51">
      <t>フクスウカイトウ</t>
    </rPh>
    <rPh sb="51" eb="52">
      <t>カ</t>
    </rPh>
    <phoneticPr fontId="1"/>
  </si>
  <si>
    <t>電話相談への対応</t>
    <rPh sb="0" eb="2">
      <t>デンワ</t>
    </rPh>
    <rPh sb="2" eb="4">
      <t>ソウダン</t>
    </rPh>
    <rPh sb="6" eb="8">
      <t>タイオウ</t>
    </rPh>
    <phoneticPr fontId="1"/>
  </si>
  <si>
    <t>必要に応じた緊急時の訪問看護</t>
    <rPh sb="0" eb="2">
      <t>ヒツヨウ</t>
    </rPh>
    <rPh sb="3" eb="4">
      <t>オウ</t>
    </rPh>
    <rPh sb="6" eb="9">
      <t>キンキュウジ</t>
    </rPh>
    <rPh sb="10" eb="12">
      <t>ホウモン</t>
    </rPh>
    <rPh sb="12" eb="14">
      <t>カンゴ</t>
    </rPh>
    <phoneticPr fontId="1"/>
  </si>
  <si>
    <t>（３）（２）で回答いただいた２４時間対応体制の提供内容について、令和６年度（令和６年４月１日～令和７年３月３１日）の実績の有無を教えてください。</t>
    <rPh sb="7" eb="9">
      <t>カイトウ</t>
    </rPh>
    <rPh sb="18" eb="20">
      <t>タイオウ</t>
    </rPh>
    <rPh sb="23" eb="25">
      <t>テイキョウ</t>
    </rPh>
    <rPh sb="25" eb="27">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</si>
</sst>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411]ggg\ e\ &quot;年&quot;\ m\ &quot;月&quot;\ d\ &quot;日&quot;;@"/>
    <numFmt numFmtId="178" formatCode="[$-411]ggg\ e\ &quot;年&quot;\ m\ &quot;月&quot;\ d\ &quot;日&quot;\ \(aaa\);@"/>
    <numFmt numFmtId="179" formatCode="#"/>
    <numFmt numFmtId="180" formatCode="0;\-0;;@\ "/>
  </numFmts>
  <fonts count="4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sz val="9"/>
      <color theme="1"/>
      <name val="ＭＳ Ｐゴシック"/>
      <family val="3"/>
      <charset val="128"/>
    </font>
    <font>
      <b/>
      <u/>
      <sz val="11"/>
      <color theme="1"/>
      <name val="ＭＳ Ｐゴシック"/>
      <family val="3"/>
      <charset val="128"/>
    </font>
    <font>
      <sz val="10"/>
      <color theme="1"/>
      <name val="ＭＳ Ｐゴシック"/>
      <family val="3"/>
      <charset val="128"/>
    </font>
    <font>
      <b/>
      <u/>
      <sz val="10"/>
      <color theme="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rgb="FFFF0000"/>
      <name val="ＭＳ Ｐゴシック"/>
      <family val="3"/>
      <charset val="128"/>
    </font>
    <font>
      <sz val="14"/>
      <name val="ＭＳ Ｐゴシック"/>
      <family val="3"/>
      <charset val="128"/>
    </font>
    <font>
      <sz val="11"/>
      <name val="ＭＳ ゴシック"/>
      <family val="3"/>
      <charset val="128"/>
    </font>
    <font>
      <sz val="10"/>
      <name val="ＭＳ ゴシック"/>
      <family val="3"/>
      <charset val="128"/>
    </font>
    <font>
      <u/>
      <sz val="11"/>
      <color theme="1"/>
      <name val="ＭＳ Ｐゴシック"/>
      <family val="3"/>
      <charset val="128"/>
    </font>
    <font>
      <sz val="12"/>
      <color theme="1"/>
      <name val="游ゴシック"/>
      <family val="2"/>
      <charset val="128"/>
      <scheme val="minor"/>
    </font>
    <font>
      <u/>
      <sz val="11"/>
      <color theme="10"/>
      <name val="游ゴシック"/>
      <family val="2"/>
      <charset val="128"/>
      <scheme val="minor"/>
    </font>
    <font>
      <u/>
      <sz val="11"/>
      <name val="ＭＳ Ｐゴシック"/>
      <family val="3"/>
      <charset val="128"/>
    </font>
    <font>
      <b/>
      <u/>
      <sz val="11"/>
      <color rgb="FFFF0000"/>
      <name val="ＭＳ Ｐゴシック"/>
      <family val="3"/>
      <charset val="128"/>
    </font>
    <font>
      <sz val="10"/>
      <color rgb="FFFF0000"/>
      <name val="ＭＳ Ｐゴシック"/>
      <family val="3"/>
      <charset val="128"/>
    </font>
    <font>
      <sz val="11"/>
      <color rgb="FFFF0000"/>
      <name val="游ゴシック"/>
      <family val="2"/>
      <charset val="128"/>
      <scheme val="minor"/>
    </font>
    <font>
      <b/>
      <sz val="11"/>
      <color rgb="FFFF0000"/>
      <name val="ＭＳ Ｐゴシック"/>
      <family val="3"/>
      <charset val="128"/>
    </font>
    <font>
      <u/>
      <vertAlign val="superscript"/>
      <sz val="11"/>
      <name val="ＭＳ Ｐゴシック"/>
      <family val="3"/>
      <charset val="128"/>
    </font>
    <font>
      <b/>
      <sz val="11"/>
      <name val="ＭＳ Ｐゴシック"/>
      <family val="3"/>
      <charset val="128"/>
    </font>
    <font>
      <b/>
      <sz val="9"/>
      <color rgb="FFFF0000"/>
      <name val="ＭＳ Ｐゴシック"/>
      <family val="3"/>
      <charset val="128"/>
    </font>
    <font>
      <sz val="9"/>
      <color indexed="81"/>
      <name val="MS P ゴシック"/>
      <family val="3"/>
      <charset val="128"/>
    </font>
    <font>
      <b/>
      <sz val="9"/>
      <color indexed="81"/>
      <name val="MS P ゴシック"/>
      <family val="3"/>
      <charset val="128"/>
    </font>
    <font>
      <sz val="11"/>
      <color rgb="FFFFFF00"/>
      <name val="游ゴシック"/>
      <family val="2"/>
      <charset val="128"/>
      <scheme val="minor"/>
    </font>
    <font>
      <sz val="11"/>
      <color rgb="FFFFFF00"/>
      <name val="HG丸ｺﾞｼｯｸM-PRO"/>
      <family val="3"/>
      <charset val="128"/>
    </font>
    <font>
      <b/>
      <sz val="11"/>
      <color rgb="FFFF0000"/>
      <name val="HG丸ｺﾞｼｯｸM-PRO"/>
      <family val="3"/>
      <charset val="128"/>
    </font>
    <font>
      <sz val="11"/>
      <color rgb="FFFF0000"/>
      <name val="HG丸ｺﾞｼｯｸM-PRO"/>
      <family val="3"/>
      <charset val="128"/>
    </font>
    <font>
      <u/>
      <sz val="11"/>
      <color rgb="FFFF0000"/>
      <name val="HG丸ｺﾞｼｯｸM-PRO"/>
      <family val="3"/>
      <charset val="128"/>
    </font>
    <font>
      <u/>
      <vertAlign val="superscript"/>
      <sz val="11"/>
      <color rgb="FFFF0000"/>
      <name val="HG丸ｺﾞｼｯｸM-PRO"/>
      <family val="3"/>
      <charset val="128"/>
    </font>
    <font>
      <sz val="10"/>
      <color rgb="FFFF0000"/>
      <name val="HG丸ｺﾞｼｯｸM-PRO"/>
      <family val="3"/>
      <charset val="128"/>
    </font>
    <font>
      <sz val="11"/>
      <color theme="1"/>
      <name val="HG丸ｺﾞｼｯｸM-PRO"/>
      <family val="3"/>
      <charset val="128"/>
    </font>
    <font>
      <u/>
      <sz val="9"/>
      <name val="ＭＳ Ｐゴシック"/>
      <family val="3"/>
      <charset val="128"/>
    </font>
    <font>
      <u/>
      <vertAlign val="superscript"/>
      <sz val="9"/>
      <name val="ＭＳ Ｐゴシック"/>
      <family val="3"/>
      <charset val="128"/>
    </font>
    <font>
      <sz val="9"/>
      <name val="ＭＳ Ｐ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CCFFCC"/>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medium">
        <color indexed="64"/>
      </bottom>
      <diagonal style="dotted">
        <color indexed="64"/>
      </diagonal>
    </border>
    <border diagonalUp="1">
      <left style="thin">
        <color indexed="64"/>
      </left>
      <right style="medium">
        <color indexed="64"/>
      </right>
      <top style="thin">
        <color indexed="64"/>
      </top>
      <bottom style="medium">
        <color indexed="64"/>
      </bottom>
      <diagonal style="dotted">
        <color indexed="64"/>
      </diagonal>
    </border>
    <border diagonalUp="1">
      <left style="thin">
        <color indexed="64"/>
      </left>
      <right/>
      <top style="thin">
        <color indexed="64"/>
      </top>
      <bottom style="medium">
        <color indexed="64"/>
      </bottom>
      <diagonal style="dotted">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diagonalUp="1">
      <left/>
      <right/>
      <top style="thin">
        <color indexed="64"/>
      </top>
      <bottom style="medium">
        <color indexed="64"/>
      </bottom>
      <diagonal style="dotted">
        <color indexed="64"/>
      </diagonal>
    </border>
    <border diagonalUp="1">
      <left/>
      <right style="thin">
        <color indexed="64"/>
      </right>
      <top style="thin">
        <color indexed="64"/>
      </top>
      <bottom style="medium">
        <color indexed="64"/>
      </bottom>
      <diagonal style="dotted">
        <color indexed="64"/>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diagonalUp="1">
      <left style="double">
        <color indexed="64"/>
      </left>
      <right/>
      <top style="thin">
        <color indexed="64"/>
      </top>
      <bottom/>
      <diagonal style="dotted">
        <color indexed="64"/>
      </diagonal>
    </border>
    <border diagonalUp="1">
      <left/>
      <right/>
      <top style="thin">
        <color indexed="64"/>
      </top>
      <bottom/>
      <diagonal style="dotted">
        <color indexed="64"/>
      </diagonal>
    </border>
    <border diagonalUp="1">
      <left/>
      <right style="thin">
        <color indexed="64"/>
      </right>
      <top style="thin">
        <color indexed="64"/>
      </top>
      <bottom/>
      <diagonal style="dotted">
        <color indexed="64"/>
      </diagonal>
    </border>
    <border diagonalUp="1">
      <left style="thin">
        <color indexed="64"/>
      </left>
      <right style="thin">
        <color indexed="64"/>
      </right>
      <top style="thin">
        <color indexed="64"/>
      </top>
      <bottom/>
      <diagonal style="dotted">
        <color indexed="64"/>
      </diagonal>
    </border>
    <border diagonalUp="1">
      <left style="double">
        <color indexed="64"/>
      </left>
      <right/>
      <top/>
      <bottom style="medium">
        <color indexed="64"/>
      </bottom>
      <diagonal style="dotted">
        <color indexed="64"/>
      </diagonal>
    </border>
    <border diagonalUp="1">
      <left/>
      <right/>
      <top/>
      <bottom style="medium">
        <color indexed="64"/>
      </bottom>
      <diagonal style="dotted">
        <color indexed="64"/>
      </diagonal>
    </border>
    <border diagonalUp="1">
      <left/>
      <right style="thin">
        <color indexed="64"/>
      </right>
      <top/>
      <bottom style="medium">
        <color indexed="64"/>
      </bottom>
      <diagonal style="dotted">
        <color indexed="64"/>
      </diagonal>
    </border>
    <border diagonalUp="1">
      <left style="thin">
        <color indexed="64"/>
      </left>
      <right style="thin">
        <color indexed="64"/>
      </right>
      <top/>
      <bottom style="medium">
        <color indexed="64"/>
      </bottom>
      <diagonal style="dotted">
        <color indexed="64"/>
      </diagonal>
    </border>
    <border>
      <left/>
      <right style="double">
        <color indexed="64"/>
      </right>
      <top style="thin">
        <color indexed="64"/>
      </top>
      <bottom style="medium">
        <color indexed="64"/>
      </bottom>
      <diagonal/>
    </border>
    <border>
      <left/>
      <right style="medium">
        <color indexed="64"/>
      </right>
      <top style="thin">
        <color indexed="64"/>
      </top>
      <bottom/>
      <diagonal/>
    </border>
    <border diagonalDown="1">
      <left style="thin">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bottom style="medium">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double">
        <color indexed="64"/>
      </right>
      <top style="medium">
        <color indexed="64"/>
      </top>
      <bottom style="thin">
        <color indexed="64"/>
      </bottom>
      <diagonal/>
    </border>
    <border>
      <left/>
      <right style="dotted">
        <color indexed="64"/>
      </right>
      <top/>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10" fillId="0" borderId="0"/>
    <xf numFmtId="0" fontId="19" fillId="0" borderId="0" applyNumberFormat="0" applyFill="0" applyBorder="0" applyAlignment="0" applyProtection="0">
      <alignment vertical="center"/>
    </xf>
  </cellStyleXfs>
  <cellXfs count="791">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5" fillId="2" borderId="0" xfId="0" applyFont="1" applyFill="1">
      <alignment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lignment vertical="center"/>
    </xf>
    <xf numFmtId="0" fontId="3" fillId="0" borderId="0" xfId="0" applyFont="1" applyAlignment="1">
      <alignment vertical="center"/>
    </xf>
    <xf numFmtId="0" fontId="8" fillId="0" borderId="52" xfId="0" applyFont="1" applyBorder="1">
      <alignment vertical="center"/>
    </xf>
    <xf numFmtId="0" fontId="3" fillId="4" borderId="19" xfId="0" applyFont="1" applyFill="1" applyBorder="1" applyAlignment="1">
      <alignment horizontal="center" vertical="center"/>
    </xf>
    <xf numFmtId="0" fontId="8" fillId="0" borderId="52" xfId="0" applyFont="1" applyBorder="1" applyAlignment="1">
      <alignment vertical="center"/>
    </xf>
    <xf numFmtId="0" fontId="8" fillId="0" borderId="53" xfId="0" applyFont="1" applyBorder="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1" fillId="0" borderId="0" xfId="1" applyFont="1" applyAlignment="1">
      <alignment vertical="center"/>
    </xf>
    <xf numFmtId="0" fontId="11" fillId="0" borderId="0" xfId="1" applyFont="1" applyAlignment="1">
      <alignment horizontal="center" vertical="center"/>
    </xf>
    <xf numFmtId="176" fontId="11" fillId="0" borderId="0" xfId="1" applyNumberFormat="1" applyFont="1" applyAlignment="1">
      <alignment horizontal="center" vertical="center"/>
    </xf>
    <xf numFmtId="0" fontId="3" fillId="0" borderId="0" xfId="0" applyFont="1" applyBorder="1" applyAlignment="1">
      <alignment horizontal="center" vertical="center"/>
    </xf>
    <xf numFmtId="0" fontId="8" fillId="7" borderId="1" xfId="0" applyFont="1" applyFill="1" applyBorder="1" applyAlignment="1">
      <alignment horizontal="center" vertical="center" wrapText="1"/>
    </xf>
    <xf numFmtId="0" fontId="3" fillId="0" borderId="0" xfId="0" applyFont="1" applyAlignment="1">
      <alignment horizontal="left" vertical="center"/>
    </xf>
    <xf numFmtId="0" fontId="8" fillId="3" borderId="1" xfId="0" applyFont="1" applyFill="1" applyBorder="1" applyAlignment="1">
      <alignment horizontal="center" vertical="center" wrapText="1"/>
    </xf>
    <xf numFmtId="0" fontId="8" fillId="7" borderId="69"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10" fillId="0" borderId="0" xfId="1" applyFont="1" applyAlignment="1">
      <alignment vertical="center"/>
    </xf>
    <xf numFmtId="0" fontId="10" fillId="0" borderId="35" xfId="1" applyFont="1" applyBorder="1" applyAlignment="1" applyProtection="1">
      <alignment horizontal="center" vertical="center"/>
      <protection hidden="1"/>
    </xf>
    <xf numFmtId="0" fontId="10" fillId="0" borderId="36" xfId="1" applyFont="1" applyBorder="1" applyAlignment="1" applyProtection="1">
      <alignment horizontal="center" vertical="center" wrapText="1"/>
      <protection hidden="1"/>
    </xf>
    <xf numFmtId="0" fontId="10" fillId="0" borderId="36" xfId="1" applyFont="1" applyBorder="1" applyAlignment="1" applyProtection="1">
      <alignment horizontal="center" vertical="center"/>
      <protection locked="0"/>
    </xf>
    <xf numFmtId="0" fontId="10" fillId="0" borderId="36" xfId="1" applyFont="1" applyBorder="1" applyAlignment="1" applyProtection="1">
      <alignment horizontal="center" vertical="center" wrapText="1"/>
      <protection locked="0"/>
    </xf>
    <xf numFmtId="176" fontId="10" fillId="0" borderId="41" xfId="1" applyNumberFormat="1" applyFont="1" applyBorder="1" applyAlignment="1" applyProtection="1">
      <alignment horizontal="center" vertical="center" wrapText="1"/>
      <protection hidden="1"/>
    </xf>
    <xf numFmtId="0" fontId="15" fillId="0" borderId="6" xfId="1" applyFont="1" applyBorder="1" applyAlignment="1" applyProtection="1">
      <alignment horizontal="center" vertical="center" wrapText="1"/>
      <protection hidden="1"/>
    </xf>
    <xf numFmtId="0" fontId="15" fillId="0" borderId="78" xfId="1" applyFont="1" applyBorder="1" applyAlignment="1" applyProtection="1">
      <alignment horizontal="center" vertical="center"/>
      <protection locked="0"/>
    </xf>
    <xf numFmtId="0" fontId="15" fillId="0" borderId="20" xfId="1" applyFont="1" applyBorder="1" applyAlignment="1" applyProtection="1">
      <alignment horizontal="center" vertical="center"/>
      <protection locked="0" hidden="1"/>
    </xf>
    <xf numFmtId="0" fontId="15" fillId="0" borderId="77" xfId="1" applyFont="1" applyBorder="1" applyAlignment="1" applyProtection="1">
      <alignment horizontal="center" vertical="center"/>
      <protection locked="0"/>
    </xf>
    <xf numFmtId="0" fontId="15" fillId="0" borderId="56" xfId="1" applyFont="1" applyBorder="1" applyAlignment="1" applyProtection="1">
      <alignment horizontal="center" vertical="center"/>
      <protection locked="0" hidden="1"/>
    </xf>
    <xf numFmtId="0" fontId="15" fillId="0" borderId="1" xfId="1" applyFont="1" applyBorder="1" applyAlignment="1" applyProtection="1">
      <alignment horizontal="center" vertical="center"/>
      <protection locked="0" hidden="1"/>
    </xf>
    <xf numFmtId="0" fontId="15" fillId="0" borderId="2" xfId="1" applyFont="1" applyBorder="1" applyAlignment="1" applyProtection="1">
      <alignment horizontal="center" vertical="center"/>
      <protection locked="0" hidden="1"/>
    </xf>
    <xf numFmtId="0" fontId="10" fillId="0" borderId="0" xfId="1" applyFont="1" applyAlignment="1">
      <alignment horizontal="center" vertical="center"/>
    </xf>
    <xf numFmtId="176" fontId="10" fillId="0" borderId="0" xfId="1" applyNumberFormat="1" applyFont="1" applyAlignment="1">
      <alignment horizontal="center" vertical="center"/>
    </xf>
    <xf numFmtId="176" fontId="15" fillId="8" borderId="14" xfId="1" applyNumberFormat="1" applyFont="1" applyFill="1" applyBorder="1" applyAlignment="1" applyProtection="1">
      <alignment horizontal="center" vertical="center"/>
      <protection hidden="1"/>
    </xf>
    <xf numFmtId="176" fontId="15" fillId="5" borderId="18" xfId="1" applyNumberFormat="1" applyFont="1" applyFill="1" applyBorder="1" applyAlignment="1" applyProtection="1">
      <alignment horizontal="center" vertical="center"/>
      <protection hidden="1"/>
    </xf>
    <xf numFmtId="176" fontId="15" fillId="5" borderId="7" xfId="1" applyNumberFormat="1" applyFont="1" applyFill="1" applyBorder="1" applyAlignment="1" applyProtection="1">
      <alignment horizontal="center" vertical="center"/>
      <protection hidden="1"/>
    </xf>
    <xf numFmtId="176" fontId="15" fillId="5" borderId="38" xfId="1" applyNumberFormat="1" applyFont="1" applyFill="1" applyBorder="1" applyAlignment="1" applyProtection="1">
      <alignment horizontal="center" vertical="center"/>
      <protection hidden="1"/>
    </xf>
    <xf numFmtId="0" fontId="3" fillId="0" borderId="0" xfId="0" applyFont="1" applyBorder="1" applyAlignment="1">
      <alignment horizontal="center" vertical="center"/>
    </xf>
    <xf numFmtId="0" fontId="18" fillId="0" borderId="0" xfId="0" applyFont="1">
      <alignment vertical="center"/>
    </xf>
    <xf numFmtId="0" fontId="0" fillId="0" borderId="0" xfId="0" applyFont="1">
      <alignment vertical="center"/>
    </xf>
    <xf numFmtId="0" fontId="19" fillId="0" borderId="0" xfId="2" applyFont="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left" vertical="center"/>
    </xf>
    <xf numFmtId="0" fontId="8" fillId="0" borderId="51" xfId="0" applyFont="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horizontal="center" vertical="center"/>
    </xf>
    <xf numFmtId="0" fontId="8" fillId="0" borderId="0" xfId="0" applyFont="1" applyFill="1">
      <alignment vertical="center"/>
    </xf>
    <xf numFmtId="0" fontId="2" fillId="0" borderId="0" xfId="0" applyFont="1" applyFill="1">
      <alignment vertical="center"/>
    </xf>
    <xf numFmtId="0" fontId="8" fillId="0" borderId="19"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7" xfId="0" applyFont="1" applyBorder="1" applyAlignment="1">
      <alignment vertical="center"/>
    </xf>
    <xf numFmtId="0" fontId="3" fillId="0" borderId="14" xfId="0" applyFont="1" applyBorder="1" applyAlignment="1">
      <alignment vertical="center"/>
    </xf>
    <xf numFmtId="0" fontId="8" fillId="0" borderId="0" xfId="0" applyFont="1" applyFill="1" applyBorder="1">
      <alignment vertical="center"/>
    </xf>
    <xf numFmtId="0" fontId="8" fillId="3" borderId="1" xfId="0" applyFont="1" applyFill="1" applyBorder="1" applyAlignment="1">
      <alignment horizontal="center" vertical="center" wrapText="1"/>
    </xf>
    <xf numFmtId="49" fontId="8" fillId="7" borderId="1" xfId="0" applyNumberFormat="1" applyFont="1" applyFill="1" applyBorder="1" applyAlignment="1">
      <alignment horizontal="center" vertical="center"/>
    </xf>
    <xf numFmtId="49" fontId="0" fillId="0" borderId="0" xfId="0" applyNumberFormat="1">
      <alignment vertical="center"/>
    </xf>
    <xf numFmtId="49" fontId="8" fillId="7" borderId="4" xfId="0" applyNumberFormat="1" applyFont="1" applyFill="1" applyBorder="1" applyAlignment="1">
      <alignment horizontal="center" vertical="center"/>
    </xf>
    <xf numFmtId="0" fontId="8" fillId="3" borderId="1" xfId="0" applyFont="1" applyFill="1" applyBorder="1" applyAlignment="1">
      <alignment vertical="center" wrapText="1"/>
    </xf>
    <xf numFmtId="49" fontId="8" fillId="3" borderId="0"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1" xfId="0" applyFill="1" applyBorder="1" applyAlignment="1">
      <alignment horizontal="center" vertical="center" wrapText="1"/>
    </xf>
    <xf numFmtId="0" fontId="8" fillId="3" borderId="5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8" fillId="7" borderId="89" xfId="0" applyFont="1" applyFill="1" applyBorder="1" applyAlignment="1">
      <alignment horizontal="center" vertical="center" wrapText="1"/>
    </xf>
    <xf numFmtId="0" fontId="8" fillId="3" borderId="91" xfId="0" applyFont="1" applyFill="1" applyBorder="1" applyAlignment="1">
      <alignment horizontal="center" vertical="center" wrapText="1"/>
    </xf>
    <xf numFmtId="0" fontId="8" fillId="3" borderId="90"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7" borderId="92" xfId="0" applyFont="1" applyFill="1" applyBorder="1" applyAlignment="1">
      <alignment horizontal="center" vertical="center" wrapText="1"/>
    </xf>
    <xf numFmtId="0" fontId="3" fillId="0" borderId="0" xfId="0" applyFont="1" applyFill="1" applyBorder="1" applyAlignment="1">
      <alignment horizontal="lef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2" fillId="0" borderId="0" xfId="0" applyFont="1" applyAlignment="1">
      <alignment vertical="center" wrapText="1"/>
    </xf>
    <xf numFmtId="0" fontId="13" fillId="0" borderId="0" xfId="0" applyFont="1" applyAlignment="1">
      <alignment horizontal="left" vertical="center"/>
    </xf>
    <xf numFmtId="0" fontId="3" fillId="0" borderId="94" xfId="0" applyFont="1" applyBorder="1" applyAlignment="1">
      <alignment horizontal="center" vertical="center"/>
    </xf>
    <xf numFmtId="0" fontId="22" fillId="0" borderId="0" xfId="0" applyFont="1">
      <alignment vertical="center"/>
    </xf>
    <xf numFmtId="0" fontId="3" fillId="3" borderId="5"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0" fontId="8" fillId="3" borderId="11" xfId="0" applyFont="1" applyFill="1" applyBorder="1" applyAlignment="1" applyProtection="1">
      <alignment vertical="center"/>
      <protection locked="0"/>
    </xf>
    <xf numFmtId="0" fontId="8" fillId="3" borderId="2" xfId="0" applyFont="1" applyFill="1" applyBorder="1" applyProtection="1">
      <alignment vertical="center"/>
      <protection locked="0"/>
    </xf>
    <xf numFmtId="0" fontId="8" fillId="3" borderId="1" xfId="0" applyFont="1" applyFill="1" applyBorder="1" applyProtection="1">
      <alignment vertical="center"/>
      <protection locked="0"/>
    </xf>
    <xf numFmtId="0" fontId="8" fillId="3" borderId="18" xfId="0" applyFont="1" applyFill="1" applyBorder="1" applyProtection="1">
      <alignment vertical="center"/>
      <protection locked="0"/>
    </xf>
    <xf numFmtId="0" fontId="8" fillId="3" borderId="18" xfId="0" applyFont="1" applyFill="1" applyBorder="1" applyAlignment="1" applyProtection="1">
      <alignment vertical="center"/>
      <protection locked="0"/>
    </xf>
    <xf numFmtId="0" fontId="8" fillId="3" borderId="41" xfId="0" applyFont="1" applyFill="1" applyBorder="1" applyAlignment="1" applyProtection="1">
      <alignment vertical="center"/>
      <protection locked="0"/>
    </xf>
    <xf numFmtId="0" fontId="3" fillId="3" borderId="27" xfId="0" applyFont="1" applyFill="1" applyBorder="1" applyAlignment="1" applyProtection="1">
      <alignment horizontal="center" vertical="center"/>
      <protection locked="0"/>
    </xf>
    <xf numFmtId="0" fontId="8" fillId="3" borderId="32" xfId="0" applyFont="1" applyFill="1" applyBorder="1" applyAlignment="1" applyProtection="1">
      <alignment vertical="center"/>
      <protection locked="0"/>
    </xf>
    <xf numFmtId="0" fontId="8" fillId="3" borderId="3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8" fillId="0" borderId="23" xfId="0" applyFont="1" applyBorder="1" applyAlignment="1">
      <alignment horizontal="center" vertical="center" wrapText="1"/>
    </xf>
    <xf numFmtId="0" fontId="10" fillId="0" borderId="0" xfId="0" applyFont="1" applyFill="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5" fillId="0" borderId="0" xfId="0" applyFont="1" applyBorder="1" applyAlignment="1">
      <alignment horizontal="left"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23" fillId="0" borderId="0" xfId="0" applyFont="1">
      <alignment vertical="center"/>
    </xf>
    <xf numFmtId="0" fontId="8" fillId="3" borderId="2" xfId="0" applyFont="1" applyFill="1" applyBorder="1" applyAlignment="1">
      <alignment horizontal="center" vertical="center" wrapText="1"/>
    </xf>
    <xf numFmtId="0" fontId="13" fillId="0" borderId="0" xfId="0" applyFont="1">
      <alignment vertical="center"/>
    </xf>
    <xf numFmtId="0" fontId="5" fillId="0" borderId="67" xfId="0" applyFont="1" applyBorder="1" applyAlignment="1">
      <alignment horizontal="left" vertical="center"/>
    </xf>
    <xf numFmtId="0" fontId="5" fillId="0" borderId="93" xfId="0" applyFont="1" applyBorder="1" applyAlignment="1">
      <alignment horizontal="left" vertical="center"/>
    </xf>
    <xf numFmtId="0" fontId="8" fillId="3" borderId="38" xfId="0" applyFont="1" applyFill="1" applyBorder="1" applyProtection="1">
      <alignment vertical="center"/>
      <protection locked="0"/>
    </xf>
    <xf numFmtId="0" fontId="2" fillId="0" borderId="0" xfId="0" applyFont="1" applyBorder="1">
      <alignment vertical="center"/>
    </xf>
    <xf numFmtId="0" fontId="8" fillId="3" borderId="48" xfId="0" applyFont="1" applyFill="1" applyBorder="1" applyProtection="1">
      <alignment vertical="center"/>
      <protection locked="0"/>
    </xf>
    <xf numFmtId="0" fontId="8" fillId="3" borderId="23" xfId="0" applyFont="1" applyFill="1" applyBorder="1" applyAlignment="1" applyProtection="1">
      <alignment vertical="center"/>
      <protection locked="0"/>
    </xf>
    <xf numFmtId="0" fontId="8" fillId="0" borderId="97" xfId="0" applyFont="1" applyFill="1" applyBorder="1" applyProtection="1">
      <alignment vertical="center"/>
      <protection locked="0"/>
    </xf>
    <xf numFmtId="0" fontId="3" fillId="0" borderId="97" xfId="0" applyFont="1" applyBorder="1" applyAlignment="1">
      <alignment horizontal="center" vertical="center"/>
    </xf>
    <xf numFmtId="0" fontId="5" fillId="10" borderId="0" xfId="0" applyFont="1" applyFill="1" applyAlignment="1">
      <alignment vertical="center"/>
    </xf>
    <xf numFmtId="0" fontId="0" fillId="3" borderId="1" xfId="0"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3" fillId="0" borderId="21" xfId="0" applyFont="1" applyBorder="1" applyAlignment="1">
      <alignment horizontal="center" vertical="center"/>
    </xf>
    <xf numFmtId="0" fontId="8" fillId="0" borderId="85"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8" fillId="0" borderId="1" xfId="0" applyFont="1" applyBorder="1" applyAlignment="1">
      <alignment horizontal="left" vertical="center"/>
    </xf>
    <xf numFmtId="0" fontId="3" fillId="3" borderId="11" xfId="0" applyFont="1" applyFill="1" applyBorder="1" applyAlignment="1" applyProtection="1">
      <alignment horizontal="center" vertical="center" shrinkToFit="1"/>
      <protection locked="0"/>
    </xf>
    <xf numFmtId="0" fontId="5" fillId="0" borderId="0" xfId="0" applyFont="1" applyBorder="1" applyAlignment="1">
      <alignment horizontal="left" vertical="center"/>
    </xf>
    <xf numFmtId="0" fontId="8" fillId="0" borderId="0"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26" fillId="0" borderId="0" xfId="0" applyFont="1">
      <alignment vertical="center"/>
    </xf>
    <xf numFmtId="0" fontId="3" fillId="0" borderId="5" xfId="0" applyFont="1" applyFill="1" applyBorder="1" applyAlignment="1">
      <alignment horizontal="center" vertical="center" wrapText="1"/>
    </xf>
    <xf numFmtId="0" fontId="3" fillId="0" borderId="6" xfId="0" applyFont="1" applyFill="1" applyBorder="1" applyAlignment="1" applyProtection="1">
      <alignment horizontal="centerContinuous" vertical="center"/>
      <protection locked="0"/>
    </xf>
    <xf numFmtId="0" fontId="3" fillId="0" borderId="20" xfId="0" applyFont="1" applyFill="1" applyBorder="1" applyAlignment="1" applyProtection="1">
      <alignment horizontal="centerContinuous" vertical="center"/>
      <protection locked="0"/>
    </xf>
    <xf numFmtId="0" fontId="3" fillId="0" borderId="95" xfId="0" applyFont="1" applyFill="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3" borderId="32" xfId="0" applyFont="1" applyFill="1" applyBorder="1" applyAlignment="1">
      <alignment vertical="center"/>
    </xf>
    <xf numFmtId="0" fontId="8" fillId="3" borderId="1" xfId="0" applyFont="1" applyFill="1" applyBorder="1" applyAlignment="1">
      <alignment vertical="center"/>
    </xf>
    <xf numFmtId="0" fontId="8" fillId="3" borderId="11" xfId="0" applyFont="1" applyFill="1" applyBorder="1" applyAlignment="1">
      <alignment vertical="center"/>
    </xf>
    <xf numFmtId="0" fontId="24" fillId="0" borderId="0" xfId="0" applyFont="1">
      <alignment vertical="center"/>
    </xf>
    <xf numFmtId="0" fontId="27" fillId="0" borderId="0" xfId="0" applyFont="1" applyBorder="1" applyAlignment="1">
      <alignment horizontal="left" vertical="center"/>
    </xf>
    <xf numFmtId="0" fontId="0" fillId="0" borderId="0" xfId="0">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3" borderId="5"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10" fillId="0" borderId="10" xfId="0" applyFont="1" applyBorder="1">
      <alignment vertical="center"/>
    </xf>
    <xf numFmtId="0" fontId="10" fillId="0" borderId="12" xfId="0" applyFont="1" applyBorder="1">
      <alignment vertical="center"/>
    </xf>
    <xf numFmtId="0" fontId="10" fillId="0" borderId="28" xfId="0" applyFont="1" applyBorder="1">
      <alignmen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0" xfId="0"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Fill="1" applyBorder="1">
      <alignment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3" fillId="3" borderId="31" xfId="0" applyFont="1" applyFill="1" applyBorder="1" applyAlignment="1" applyProtection="1">
      <alignment horizontal="center" vertical="center"/>
      <protection locked="0"/>
    </xf>
    <xf numFmtId="0" fontId="3" fillId="3" borderId="82" xfId="0" applyFont="1" applyFill="1" applyBorder="1" applyAlignment="1" applyProtection="1">
      <alignment horizontal="center" vertical="center"/>
      <protection locked="0"/>
    </xf>
    <xf numFmtId="0" fontId="3" fillId="3" borderId="100" xfId="0" applyFont="1" applyFill="1" applyBorder="1" applyAlignment="1" applyProtection="1">
      <alignment horizontal="center" vertical="center"/>
      <protection locked="0"/>
    </xf>
    <xf numFmtId="0" fontId="3" fillId="0" borderId="0" xfId="0" applyFont="1" applyBorder="1" applyAlignment="1">
      <alignment horizontal="left" vertical="center"/>
    </xf>
    <xf numFmtId="0" fontId="26" fillId="3" borderId="1" xfId="0" applyFont="1" applyFill="1" applyBorder="1" applyAlignment="1">
      <alignment horizontal="center" vertical="center" wrapText="1"/>
    </xf>
    <xf numFmtId="0" fontId="26" fillId="3" borderId="18" xfId="0" applyFont="1" applyFill="1" applyBorder="1" applyAlignment="1">
      <alignment horizontal="center" vertical="center"/>
    </xf>
    <xf numFmtId="0" fontId="26" fillId="3" borderId="11" xfId="0" applyFont="1" applyFill="1" applyBorder="1" applyAlignment="1">
      <alignment horizontal="center" vertical="center" wrapText="1"/>
    </xf>
    <xf numFmtId="0" fontId="26" fillId="3" borderId="14"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99" xfId="0" applyFont="1" applyBorder="1" applyAlignment="1">
      <alignment horizontal="left" vertical="center" shrinkToFit="1"/>
    </xf>
    <xf numFmtId="0" fontId="13" fillId="0" borderId="93" xfId="0" applyFont="1" applyBorder="1" applyAlignment="1">
      <alignment horizontal="center" vertical="center"/>
    </xf>
    <xf numFmtId="0" fontId="13" fillId="0" borderId="0" xfId="0" applyFont="1" applyAlignment="1">
      <alignment horizontal="center" vertical="center"/>
    </xf>
    <xf numFmtId="0" fontId="3" fillId="0" borderId="25" xfId="0" applyFont="1" applyFill="1" applyBorder="1" applyAlignment="1">
      <alignment horizontal="center" vertical="center" wrapText="1"/>
    </xf>
    <xf numFmtId="0" fontId="3" fillId="0" borderId="34" xfId="0" applyFont="1" applyFill="1" applyBorder="1" applyAlignment="1" applyProtection="1">
      <alignment horizontal="centerContinuous" vertical="center"/>
      <protection locked="0"/>
    </xf>
    <xf numFmtId="0" fontId="3" fillId="0" borderId="63" xfId="0" applyFont="1" applyFill="1" applyBorder="1" applyAlignment="1" applyProtection="1">
      <alignment horizontal="centerContinuous" vertical="center"/>
      <protection locked="0"/>
    </xf>
    <xf numFmtId="0" fontId="3" fillId="0" borderId="62" xfId="0" applyFont="1" applyFill="1" applyBorder="1" applyAlignment="1" applyProtection="1">
      <alignment horizontal="centerContinuous" vertical="center"/>
      <protection locked="0"/>
    </xf>
    <xf numFmtId="0" fontId="3" fillId="0" borderId="46" xfId="0" applyFont="1" applyFill="1" applyBorder="1" applyAlignment="1" applyProtection="1">
      <alignment horizontal="centerContinuous" vertical="center"/>
      <protection locked="0"/>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1" xfId="0" applyBorder="1">
      <alignment vertical="center"/>
    </xf>
    <xf numFmtId="0" fontId="3" fillId="0" borderId="1" xfId="0" applyFont="1" applyFill="1" applyBorder="1" applyAlignment="1">
      <alignment vertical="center" shrinkToFit="1"/>
    </xf>
    <xf numFmtId="0" fontId="3" fillId="0" borderId="1" xfId="0" applyFont="1" applyFill="1" applyBorder="1" applyAlignment="1">
      <alignment horizontal="left" vertical="center" shrinkToFit="1"/>
    </xf>
    <xf numFmtId="0" fontId="0" fillId="10" borderId="1" xfId="0" applyFill="1" applyBorder="1">
      <alignment vertical="center"/>
    </xf>
    <xf numFmtId="0" fontId="0" fillId="0" borderId="87" xfId="0" applyBorder="1">
      <alignment vertical="center"/>
    </xf>
    <xf numFmtId="0" fontId="0" fillId="0" borderId="88" xfId="0" applyBorder="1">
      <alignment vertical="center"/>
    </xf>
    <xf numFmtId="0" fontId="0" fillId="0" borderId="44" xfId="0" applyBorder="1">
      <alignment vertical="center"/>
    </xf>
    <xf numFmtId="0" fontId="0" fillId="0" borderId="47" xfId="0" applyBorder="1">
      <alignment vertical="center"/>
    </xf>
    <xf numFmtId="0" fontId="0" fillId="0" borderId="2" xfId="0" applyBorder="1">
      <alignment vertical="center"/>
    </xf>
    <xf numFmtId="0" fontId="0" fillId="0" borderId="23" xfId="0" applyBorder="1">
      <alignment vertical="center"/>
    </xf>
    <xf numFmtId="0" fontId="0" fillId="0" borderId="43" xfId="0" applyBorder="1">
      <alignment vertical="center"/>
    </xf>
    <xf numFmtId="0" fontId="3" fillId="0" borderId="94" xfId="0" applyFont="1" applyFill="1" applyBorder="1" applyAlignment="1">
      <alignment vertical="center" wrapText="1"/>
    </xf>
    <xf numFmtId="0" fontId="0" fillId="0" borderId="94" xfId="0" applyBorder="1">
      <alignment vertical="center"/>
    </xf>
    <xf numFmtId="0" fontId="24" fillId="0" borderId="0" xfId="0" applyFont="1" applyAlignment="1">
      <alignment horizontal="left" vertical="center"/>
    </xf>
    <xf numFmtId="0" fontId="0" fillId="10" borderId="1" xfId="0" applyFill="1" applyBorder="1" applyAlignment="1">
      <alignment horizontal="center" vertical="center"/>
    </xf>
    <xf numFmtId="0" fontId="0" fillId="0" borderId="1" xfId="0" applyFill="1" applyBorder="1">
      <alignment vertical="center"/>
    </xf>
    <xf numFmtId="0" fontId="3" fillId="3" borderId="6"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5" fillId="0" borderId="0" xfId="0" applyFont="1" applyFill="1">
      <alignment vertical="center"/>
    </xf>
    <xf numFmtId="0" fontId="0" fillId="0" borderId="4" xfId="0" applyBorder="1">
      <alignment vertical="center"/>
    </xf>
    <xf numFmtId="0" fontId="6" fillId="3" borderId="6"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6" fillId="3" borderId="11" xfId="0" applyFont="1" applyFill="1" applyBorder="1" applyAlignment="1" applyProtection="1">
      <alignment horizontal="center" vertical="center" wrapText="1" shrinkToFit="1"/>
      <protection locked="0"/>
    </xf>
    <xf numFmtId="0" fontId="3" fillId="3" borderId="1" xfId="0" applyFont="1" applyFill="1" applyBorder="1" applyAlignment="1" applyProtection="1">
      <alignment vertical="center" shrinkToFit="1"/>
      <protection locked="0"/>
    </xf>
    <xf numFmtId="0" fontId="3" fillId="3" borderId="11" xfId="0" applyFont="1" applyFill="1" applyBorder="1" applyAlignment="1" applyProtection="1">
      <alignment vertical="center" shrinkToFit="1"/>
      <protection locked="0"/>
    </xf>
    <xf numFmtId="0" fontId="3" fillId="3" borderId="6" xfId="0" applyFont="1" applyFill="1" applyBorder="1" applyAlignment="1" applyProtection="1">
      <alignment vertical="center" shrinkToFit="1"/>
      <protection locked="0"/>
    </xf>
    <xf numFmtId="0" fontId="3" fillId="0" borderId="81" xfId="0" applyFont="1" applyBorder="1" applyAlignment="1">
      <alignment vertical="center" shrinkToFit="1"/>
    </xf>
    <xf numFmtId="0" fontId="3" fillId="0" borderId="81" xfId="0" applyFont="1" applyBorder="1" applyAlignment="1">
      <alignment vertical="center"/>
    </xf>
    <xf numFmtId="0" fontId="10" fillId="0" borderId="81" xfId="0" applyFont="1" applyBorder="1" applyAlignment="1">
      <alignment vertical="center"/>
    </xf>
    <xf numFmtId="0" fontId="3" fillId="4" borderId="81" xfId="0" applyFont="1" applyFill="1" applyBorder="1" applyAlignment="1">
      <alignment vertical="center"/>
    </xf>
    <xf numFmtId="0" fontId="3" fillId="0" borderId="44" xfId="0" applyFont="1" applyBorder="1" applyAlignment="1">
      <alignment vertical="center"/>
    </xf>
    <xf numFmtId="0" fontId="3" fillId="0" borderId="44" xfId="0" applyFont="1" applyBorder="1" applyAlignment="1">
      <alignment vertical="center" shrinkToFit="1"/>
    </xf>
    <xf numFmtId="0" fontId="3" fillId="0" borderId="0" xfId="0" applyFont="1" applyBorder="1" applyAlignment="1">
      <alignment vertical="center" shrinkToFit="1"/>
    </xf>
    <xf numFmtId="0" fontId="10" fillId="0" borderId="44" xfId="0" applyFont="1" applyBorder="1" applyAlignment="1">
      <alignment vertical="center"/>
    </xf>
    <xf numFmtId="0" fontId="10" fillId="0" borderId="0" xfId="0" applyFont="1" applyBorder="1" applyAlignment="1">
      <alignment vertical="center"/>
    </xf>
    <xf numFmtId="0" fontId="3" fillId="4" borderId="44" xfId="0" applyFont="1" applyFill="1" applyBorder="1" applyAlignment="1">
      <alignment vertical="center"/>
    </xf>
    <xf numFmtId="0" fontId="0" fillId="0" borderId="0" xfId="0" applyFill="1">
      <alignment vertical="center"/>
    </xf>
    <xf numFmtId="0" fontId="6" fillId="0" borderId="23"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vertical="center" shrinkToFit="1"/>
      <protection locked="0"/>
    </xf>
    <xf numFmtId="0" fontId="3" fillId="0" borderId="23" xfId="0" applyFont="1" applyFill="1" applyBorder="1" applyAlignment="1" applyProtection="1">
      <alignment vertical="center" shrinkToFit="1"/>
      <protection locked="0"/>
    </xf>
    <xf numFmtId="0" fontId="30" fillId="0" borderId="0" xfId="0" applyFont="1">
      <alignment vertical="center"/>
    </xf>
    <xf numFmtId="0" fontId="31" fillId="0" borderId="0" xfId="0" applyFont="1">
      <alignment vertical="center"/>
    </xf>
    <xf numFmtId="0" fontId="31" fillId="0" borderId="44" xfId="0" applyFont="1" applyBorder="1" applyAlignment="1">
      <alignment vertical="center" shrinkToFit="1"/>
    </xf>
    <xf numFmtId="0" fontId="31" fillId="0" borderId="0" xfId="0" applyFont="1" applyBorder="1">
      <alignment vertical="center"/>
    </xf>
    <xf numFmtId="0" fontId="31" fillId="0" borderId="0" xfId="0" applyFont="1" applyAlignment="1">
      <alignment vertical="center" shrinkToFit="1"/>
    </xf>
    <xf numFmtId="0" fontId="3" fillId="2" borderId="5" xfId="0" applyFont="1" applyFill="1" applyBorder="1" applyAlignment="1">
      <alignment vertical="center" shrinkToFit="1"/>
    </xf>
    <xf numFmtId="0" fontId="6" fillId="2" borderId="6" xfId="0" applyFont="1" applyFill="1" applyBorder="1" applyAlignment="1">
      <alignment vertical="center" wrapText="1" shrinkToFit="1"/>
    </xf>
    <xf numFmtId="0" fontId="3" fillId="2" borderId="6" xfId="0" applyFont="1" applyFill="1" applyBorder="1" applyAlignment="1">
      <alignment horizontal="center" vertical="center" shrinkToFit="1"/>
    </xf>
    <xf numFmtId="0" fontId="8" fillId="3" borderId="4" xfId="0" applyFont="1" applyFill="1" applyBorder="1" applyAlignment="1">
      <alignment horizontal="center" vertical="center" wrapText="1"/>
    </xf>
    <xf numFmtId="0" fontId="32" fillId="0" borderId="0" xfId="0" applyFont="1" applyFill="1">
      <alignment vertical="center"/>
    </xf>
    <xf numFmtId="0" fontId="33" fillId="0" borderId="0" xfId="0" applyFont="1" applyAlignment="1">
      <alignment vertical="center" shrinkToFit="1"/>
    </xf>
    <xf numFmtId="0" fontId="33" fillId="0" borderId="1" xfId="0" applyFont="1" applyBorder="1" applyAlignment="1">
      <alignment vertical="center" shrinkToFit="1"/>
    </xf>
    <xf numFmtId="0" fontId="32" fillId="10" borderId="1" xfId="0" applyFont="1" applyFill="1" applyBorder="1" applyAlignment="1">
      <alignment horizontal="center" vertical="center" shrinkToFit="1"/>
    </xf>
    <xf numFmtId="0" fontId="33" fillId="0" borderId="1" xfId="0" applyFont="1" applyFill="1" applyBorder="1" applyAlignment="1">
      <alignment vertical="center" shrinkToFit="1"/>
    </xf>
    <xf numFmtId="0" fontId="33" fillId="0" borderId="88" xfId="0" applyFont="1" applyBorder="1" applyAlignment="1">
      <alignment vertical="center" shrinkToFit="1"/>
    </xf>
    <xf numFmtId="0" fontId="33" fillId="0" borderId="1" xfId="0" applyFont="1" applyFill="1" applyBorder="1" applyAlignment="1">
      <alignment horizontal="left" vertical="center" shrinkToFit="1"/>
    </xf>
    <xf numFmtId="0" fontId="33" fillId="0" borderId="0" xfId="0" applyFont="1" applyBorder="1" applyAlignment="1">
      <alignment vertical="center" shrinkToFit="1"/>
    </xf>
    <xf numFmtId="0" fontId="33" fillId="0" borderId="87" xfId="0" applyFont="1" applyBorder="1" applyAlignment="1">
      <alignment vertical="center" shrinkToFit="1"/>
    </xf>
    <xf numFmtId="0" fontId="33" fillId="0" borderId="47" xfId="0" applyFont="1" applyBorder="1" applyAlignment="1">
      <alignment vertical="center" shrinkToFit="1"/>
    </xf>
    <xf numFmtId="0" fontId="33" fillId="0" borderId="44" xfId="0" applyFont="1" applyBorder="1" applyAlignment="1">
      <alignment vertical="center" shrinkToFit="1"/>
    </xf>
    <xf numFmtId="0" fontId="33" fillId="0" borderId="0" xfId="0" applyFont="1" applyFill="1" applyBorder="1" applyAlignment="1">
      <alignment vertical="center" shrinkToFit="1"/>
    </xf>
    <xf numFmtId="0" fontId="32" fillId="0" borderId="0" xfId="0" applyFont="1">
      <alignment vertical="center"/>
    </xf>
    <xf numFmtId="0" fontId="32" fillId="10" borderId="1" xfId="0" applyFont="1" applyFill="1" applyBorder="1" applyAlignment="1">
      <alignment vertical="center" shrinkToFit="1"/>
    </xf>
    <xf numFmtId="0" fontId="33" fillId="0" borderId="2" xfId="0" applyFont="1" applyBorder="1" applyAlignment="1">
      <alignment vertical="center" shrinkToFit="1"/>
    </xf>
    <xf numFmtId="0" fontId="33" fillId="0" borderId="3" xfId="0" applyFont="1" applyBorder="1" applyAlignment="1">
      <alignment vertical="center" shrinkToFit="1"/>
    </xf>
    <xf numFmtId="0" fontId="33" fillId="4" borderId="1" xfId="0" applyFont="1" applyFill="1" applyBorder="1" applyAlignment="1">
      <alignment vertical="center" shrinkToFit="1"/>
    </xf>
    <xf numFmtId="0" fontId="13" fillId="0" borderId="0" xfId="0" applyFont="1" applyFill="1" applyBorder="1" applyAlignment="1">
      <alignment vertical="center" wrapText="1"/>
    </xf>
    <xf numFmtId="0" fontId="37" fillId="0" borderId="0" xfId="0" applyFo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1" fillId="0" borderId="0" xfId="0" applyFont="1" applyBorder="1" applyAlignment="1">
      <alignment vertical="center" shrinkToFit="1"/>
    </xf>
    <xf numFmtId="0" fontId="33" fillId="0" borderId="45" xfId="0" applyFont="1" applyBorder="1" applyAlignment="1">
      <alignment vertical="center" shrinkToFit="1"/>
    </xf>
    <xf numFmtId="0" fontId="8" fillId="11" borderId="1" xfId="0" applyFont="1" applyFill="1" applyBorder="1" applyAlignment="1">
      <alignment horizontal="center" vertical="center" wrapText="1"/>
    </xf>
    <xf numFmtId="0" fontId="8" fillId="11" borderId="40"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5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7" borderId="1" xfId="0" applyFill="1" applyBorder="1" applyAlignment="1">
      <alignment horizontal="center" vertical="center" wrapText="1"/>
    </xf>
    <xf numFmtId="0" fontId="8" fillId="7" borderId="40"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3" borderId="89" xfId="0" applyFont="1" applyFill="1" applyBorder="1" applyAlignment="1">
      <alignment horizontal="center" vertical="center" wrapText="1"/>
    </xf>
    <xf numFmtId="0" fontId="8" fillId="11" borderId="69" xfId="0" applyFont="1" applyFill="1" applyBorder="1" applyAlignment="1">
      <alignment horizontal="center" vertical="center" wrapText="1"/>
    </xf>
    <xf numFmtId="0" fontId="8" fillId="11" borderId="89"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8" fillId="11" borderId="92"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3" fillId="0" borderId="120" xfId="0" applyFont="1" applyBorder="1">
      <alignment vertical="center"/>
    </xf>
    <xf numFmtId="0" fontId="8" fillId="7" borderId="91" xfId="0" applyFont="1" applyFill="1" applyBorder="1" applyAlignment="1">
      <alignment horizontal="center" vertical="center" wrapText="1"/>
    </xf>
    <xf numFmtId="0" fontId="8" fillId="7" borderId="90" xfId="0" applyFont="1" applyFill="1" applyBorder="1" applyAlignment="1">
      <alignment horizontal="center" vertical="center" wrapText="1"/>
    </xf>
    <xf numFmtId="0" fontId="8" fillId="11" borderId="91" xfId="0" applyFont="1" applyFill="1" applyBorder="1" applyAlignment="1">
      <alignment horizontal="center" vertical="center" wrapText="1"/>
    </xf>
    <xf numFmtId="0" fontId="8" fillId="11" borderId="90" xfId="0" applyFont="1" applyFill="1" applyBorder="1" applyAlignment="1">
      <alignment horizontal="center" vertical="center" wrapText="1"/>
    </xf>
    <xf numFmtId="0" fontId="6" fillId="0" borderId="11" xfId="0" applyFont="1" applyFill="1" applyBorder="1" applyAlignment="1" applyProtection="1">
      <alignment horizontal="center" vertical="center" wrapText="1" shrinkToFit="1"/>
      <protection locked="0"/>
    </xf>
    <xf numFmtId="0" fontId="5" fillId="0" borderId="0" xfId="0" applyFont="1" applyBorder="1" applyAlignment="1">
      <alignment horizontal="left" vertical="center"/>
    </xf>
    <xf numFmtId="0" fontId="0" fillId="11" borderId="1" xfId="0" applyFill="1" applyBorder="1" applyAlignment="1">
      <alignment horizontal="center" vertical="center" wrapText="1"/>
    </xf>
    <xf numFmtId="0" fontId="0" fillId="0" borderId="1" xfId="0" applyBorder="1" applyAlignment="1">
      <alignment vertical="center" shrinkToFit="1"/>
    </xf>
    <xf numFmtId="0" fontId="0" fillId="0" borderId="2" xfId="0" applyFill="1" applyBorder="1">
      <alignment vertical="center"/>
    </xf>
    <xf numFmtId="0" fontId="0" fillId="10" borderId="2" xfId="0" applyFill="1" applyBorder="1" applyAlignment="1">
      <alignment horizontal="center" vertical="center"/>
    </xf>
    <xf numFmtId="0" fontId="0" fillId="7" borderId="1" xfId="0" applyFill="1" applyBorder="1">
      <alignment vertical="center"/>
    </xf>
    <xf numFmtId="0" fontId="3" fillId="0" borderId="121"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24" fillId="0" borderId="0" xfId="0" applyFont="1" applyAlignment="1">
      <alignment vertical="top" wrapText="1"/>
    </xf>
    <xf numFmtId="0" fontId="3" fillId="7" borderId="25" xfId="0" applyFont="1" applyFill="1" applyBorder="1" applyAlignment="1">
      <alignment horizontal="center" vertical="center" wrapText="1"/>
    </xf>
    <xf numFmtId="0" fontId="3" fillId="7" borderId="1" xfId="0" applyFont="1" applyFill="1" applyBorder="1" applyAlignment="1" applyProtection="1">
      <alignment horizontal="center" vertical="center" shrinkToFit="1"/>
      <protection locked="0"/>
    </xf>
    <xf numFmtId="0" fontId="3" fillId="7" borderId="23" xfId="0" applyFont="1" applyFill="1" applyBorder="1" applyAlignment="1" applyProtection="1">
      <alignment horizontal="center" vertical="center" shrinkToFit="1"/>
      <protection locked="0"/>
    </xf>
    <xf numFmtId="0" fontId="3" fillId="0" borderId="0" xfId="0" applyFont="1" applyFill="1">
      <alignment vertical="center"/>
    </xf>
    <xf numFmtId="0" fontId="3" fillId="0" borderId="88" xfId="0" applyFont="1" applyBorder="1">
      <alignment vertical="center"/>
    </xf>
    <xf numFmtId="0" fontId="3" fillId="2" borderId="6" xfId="0" applyFont="1" applyFill="1" applyBorder="1" applyAlignment="1" applyProtection="1">
      <alignment horizontal="center" vertical="center" wrapText="1" shrinkToFit="1"/>
      <protection locked="0"/>
    </xf>
    <xf numFmtId="0" fontId="5" fillId="0" borderId="0" xfId="0" applyFont="1" applyBorder="1" applyAlignment="1">
      <alignment vertical="center" wrapText="1"/>
    </xf>
    <xf numFmtId="0" fontId="24" fillId="0" borderId="0" xfId="0" applyFont="1" applyBorder="1" applyAlignment="1">
      <alignment vertical="center"/>
    </xf>
    <xf numFmtId="180" fontId="8" fillId="0" borderId="1" xfId="0" applyNumberFormat="1" applyFont="1" applyBorder="1">
      <alignment vertical="center"/>
    </xf>
    <xf numFmtId="180" fontId="8" fillId="0" borderId="2" xfId="0" applyNumberFormat="1" applyFont="1" applyBorder="1">
      <alignment vertical="center"/>
    </xf>
    <xf numFmtId="180" fontId="8" fillId="0" borderId="54" xfId="0" applyNumberFormat="1" applyFont="1" applyBorder="1">
      <alignment vertical="center"/>
    </xf>
    <xf numFmtId="180" fontId="8" fillId="0" borderId="4" xfId="0" applyNumberFormat="1" applyFont="1" applyBorder="1">
      <alignment vertical="center"/>
    </xf>
    <xf numFmtId="180" fontId="8" fillId="0" borderId="1" xfId="0" applyNumberFormat="1" applyFont="1" applyBorder="1" applyAlignment="1">
      <alignment vertical="center" wrapText="1"/>
    </xf>
    <xf numFmtId="180" fontId="8" fillId="0" borderId="1" xfId="0" applyNumberFormat="1" applyFont="1" applyBorder="1" applyAlignment="1">
      <alignment horizontal="center" vertical="center"/>
    </xf>
    <xf numFmtId="180" fontId="8" fillId="0" borderId="4" xfId="0" applyNumberFormat="1" applyFont="1" applyBorder="1" applyAlignment="1">
      <alignment horizontal="center" vertical="center"/>
    </xf>
    <xf numFmtId="180" fontId="8" fillId="0" borderId="69" xfId="0" applyNumberFormat="1" applyFont="1" applyBorder="1">
      <alignment vertical="center"/>
    </xf>
    <xf numFmtId="180" fontId="8" fillId="0" borderId="89" xfId="0" applyNumberFormat="1" applyFont="1" applyBorder="1">
      <alignment vertical="center"/>
    </xf>
    <xf numFmtId="180" fontId="8" fillId="0" borderId="92" xfId="0" applyNumberFormat="1" applyFont="1" applyBorder="1">
      <alignment vertical="center"/>
    </xf>
    <xf numFmtId="180" fontId="8" fillId="0" borderId="91" xfId="0" applyNumberFormat="1" applyFont="1" applyFill="1" applyBorder="1">
      <alignment vertical="center"/>
    </xf>
    <xf numFmtId="180" fontId="8" fillId="0" borderId="91" xfId="0" applyNumberFormat="1" applyFont="1" applyBorder="1">
      <alignment vertical="center"/>
    </xf>
    <xf numFmtId="180" fontId="8" fillId="0" borderId="90" xfId="0" applyNumberFormat="1" applyFont="1" applyBorder="1">
      <alignment vertical="center"/>
    </xf>
    <xf numFmtId="180" fontId="8" fillId="0" borderId="3" xfId="0" applyNumberFormat="1" applyFont="1" applyBorder="1">
      <alignment vertical="center"/>
    </xf>
    <xf numFmtId="180" fontId="8" fillId="0" borderId="56" xfId="0" applyNumberFormat="1" applyFont="1" applyBorder="1">
      <alignment vertical="center"/>
    </xf>
    <xf numFmtId="180" fontId="8" fillId="0" borderId="32" xfId="0" applyNumberFormat="1" applyFont="1" applyBorder="1">
      <alignment vertical="center"/>
    </xf>
    <xf numFmtId="180" fontId="8" fillId="0" borderId="1" xfId="0" applyNumberFormat="1" applyFont="1" applyFill="1" applyBorder="1">
      <alignment vertical="center"/>
    </xf>
    <xf numFmtId="180" fontId="8" fillId="0" borderId="40" xfId="0" applyNumberFormat="1" applyFont="1" applyBorder="1">
      <alignment vertical="center"/>
    </xf>
    <xf numFmtId="180" fontId="3" fillId="0" borderId="1" xfId="0" applyNumberFormat="1" applyFont="1" applyBorder="1">
      <alignment vertical="center"/>
    </xf>
    <xf numFmtId="180" fontId="8" fillId="0" borderId="1" xfId="0" applyNumberFormat="1" applyFont="1" applyBorder="1" applyAlignment="1">
      <alignment horizontal="right" vertical="center"/>
    </xf>
    <xf numFmtId="180" fontId="8" fillId="0" borderId="1" xfId="0" applyNumberFormat="1" applyFont="1" applyBorder="1" applyAlignment="1">
      <alignment horizontal="left" vertical="center"/>
    </xf>
    <xf numFmtId="180" fontId="0" fillId="0" borderId="1" xfId="0" applyNumberFormat="1" applyBorder="1">
      <alignment vertical="center"/>
    </xf>
    <xf numFmtId="0" fontId="3" fillId="3" borderId="13"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0" borderId="0" xfId="0" applyFont="1" applyBorder="1" applyAlignment="1">
      <alignment horizontal="left" vertical="center" wrapText="1"/>
    </xf>
    <xf numFmtId="0" fontId="24" fillId="0" borderId="0" xfId="0" applyFont="1" applyAlignment="1">
      <alignment horizontal="left" vertical="top" wrapText="1"/>
    </xf>
    <xf numFmtId="0" fontId="5" fillId="0" borderId="0"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81" xfId="0" applyFont="1" applyBorder="1" applyAlignment="1">
      <alignment vertical="center"/>
    </xf>
    <xf numFmtId="0" fontId="8" fillId="0" borderId="3" xfId="0" applyFont="1" applyBorder="1" applyAlignment="1">
      <alignment vertical="center"/>
    </xf>
    <xf numFmtId="0" fontId="8" fillId="0" borderId="81" xfId="0" applyFont="1" applyBorder="1" applyAlignment="1">
      <alignment vertical="center" shrinkToFit="1"/>
    </xf>
    <xf numFmtId="0" fontId="8" fillId="0" borderId="3" xfId="0" applyFont="1" applyBorder="1" applyAlignment="1">
      <alignment vertical="center" shrinkToFit="1"/>
    </xf>
    <xf numFmtId="0" fontId="8" fillId="0" borderId="96" xfId="0" applyFont="1" applyFill="1" applyBorder="1" applyAlignment="1">
      <alignment horizontal="left" vertical="center"/>
    </xf>
    <xf numFmtId="0" fontId="8" fillId="0" borderId="97" xfId="0" applyFont="1" applyFill="1" applyBorder="1" applyAlignment="1">
      <alignment horizontal="left" vertical="center"/>
    </xf>
    <xf numFmtId="0" fontId="3" fillId="0" borderId="1" xfId="0" applyFont="1" applyBorder="1" applyAlignment="1">
      <alignment horizontal="left" vertical="center"/>
    </xf>
    <xf numFmtId="0" fontId="3" fillId="0" borderId="18"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9" xfId="0" applyFont="1" applyBorder="1">
      <alignment vertical="center"/>
    </xf>
    <xf numFmtId="0" fontId="5" fillId="0" borderId="0" xfId="0" applyFont="1" applyBorder="1" applyAlignment="1">
      <alignment horizontal="left" vertical="center" wrapText="1"/>
    </xf>
    <xf numFmtId="0" fontId="5" fillId="2" borderId="0" xfId="0" applyFont="1" applyFill="1" applyAlignment="1">
      <alignment horizontal="left" vertical="center" shrinkToFi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9" xfId="0" applyFont="1" applyBorder="1" applyAlignment="1">
      <alignment horizontal="left" vertical="center"/>
    </xf>
    <xf numFmtId="0" fontId="5" fillId="10" borderId="0" xfId="0" applyFont="1" applyFill="1" applyAlignment="1">
      <alignment horizontal="center" vertical="center"/>
    </xf>
    <xf numFmtId="0" fontId="8" fillId="0" borderId="26" xfId="0" applyFont="1" applyBorder="1" applyAlignment="1">
      <alignment horizontal="left" vertical="center"/>
    </xf>
    <xf numFmtId="0" fontId="8" fillId="0" borderId="32"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xf>
    <xf numFmtId="0" fontId="8" fillId="0" borderId="28" xfId="0" applyFont="1" applyBorder="1" applyAlignment="1">
      <alignment horizontal="left" vertical="center"/>
    </xf>
    <xf numFmtId="0" fontId="8" fillId="0" borderId="13"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26" fillId="0" borderId="82"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1" xfId="0" applyFont="1" applyBorder="1" applyAlignment="1">
      <alignment horizontal="center" vertical="center" wrapText="1"/>
    </xf>
    <xf numFmtId="0" fontId="10" fillId="0" borderId="26" xfId="0" applyFont="1" applyBorder="1" applyAlignment="1">
      <alignment horizontal="left" vertical="center"/>
    </xf>
    <xf numFmtId="0" fontId="10" fillId="0" borderId="32" xfId="0" applyFont="1" applyBorder="1" applyAlignment="1">
      <alignment horizontal="left" vertical="center"/>
    </xf>
    <xf numFmtId="0" fontId="10" fillId="0" borderId="56" xfId="0" applyFont="1" applyBorder="1" applyAlignment="1">
      <alignment horizontal="left" vertical="center"/>
    </xf>
    <xf numFmtId="0" fontId="10" fillId="0" borderId="8" xfId="0" applyFont="1" applyBorder="1" applyAlignment="1">
      <alignment horizontal="left"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179" fontId="10" fillId="3" borderId="28" xfId="0" applyNumberFormat="1" applyFont="1" applyFill="1" applyBorder="1" applyAlignment="1">
      <alignment horizontal="center" vertical="center"/>
    </xf>
    <xf numFmtId="0" fontId="3" fillId="0" borderId="96" xfId="0" applyFont="1" applyBorder="1" applyAlignment="1">
      <alignment horizontal="left" vertical="center"/>
    </xf>
    <xf numFmtId="0" fontId="3" fillId="0" borderId="97" xfId="0" applyFont="1" applyBorder="1" applyAlignment="1">
      <alignment horizontal="left" vertical="center"/>
    </xf>
    <xf numFmtId="0" fontId="3" fillId="0" borderId="102" xfId="0" applyFont="1" applyBorder="1" applyAlignment="1">
      <alignment horizontal="left" vertical="center"/>
    </xf>
    <xf numFmtId="0" fontId="3" fillId="0" borderId="81"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3" borderId="28" xfId="0" applyFont="1" applyFill="1" applyBorder="1" applyAlignment="1">
      <alignment horizontal="center" vertical="center"/>
    </xf>
    <xf numFmtId="0" fontId="4" fillId="0" borderId="0" xfId="0" applyFont="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28" xfId="0" applyFont="1" applyBorder="1" applyAlignment="1">
      <alignment horizontal="left" vertical="center"/>
    </xf>
    <xf numFmtId="0" fontId="3" fillId="0" borderId="19" xfId="0" applyFont="1" applyBorder="1" applyAlignment="1">
      <alignment horizontal="left" vertical="center"/>
    </xf>
    <xf numFmtId="0" fontId="3" fillId="3" borderId="83"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5" fillId="0" borderId="82"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xf>
    <xf numFmtId="0" fontId="8" fillId="0" borderId="0" xfId="0" applyFont="1" applyAlignment="1">
      <alignment horizontal="center"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0" fontId="8" fillId="0" borderId="22" xfId="0" applyFont="1" applyBorder="1" applyAlignment="1">
      <alignment horizontal="left" vertical="center"/>
    </xf>
    <xf numFmtId="0" fontId="3" fillId="3" borderId="28" xfId="0" applyFont="1" applyFill="1" applyBorder="1" applyAlignment="1" applyProtection="1">
      <alignment horizontal="center" vertical="center"/>
      <protection locked="0"/>
    </xf>
    <xf numFmtId="0" fontId="3" fillId="0" borderId="63"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46" xfId="0" applyFont="1" applyBorder="1" applyAlignment="1">
      <alignment horizontal="center" vertical="center"/>
    </xf>
    <xf numFmtId="0" fontId="3" fillId="0" borderId="38" xfId="0" applyFont="1" applyBorder="1" applyAlignment="1">
      <alignment horizontal="center" vertical="center"/>
    </xf>
    <xf numFmtId="0" fontId="8" fillId="0" borderId="31" xfId="0" applyFont="1" applyBorder="1" applyAlignment="1">
      <alignment vertical="center"/>
    </xf>
    <xf numFmtId="0" fontId="8" fillId="0" borderId="28" xfId="0" applyFont="1" applyBorder="1" applyAlignment="1">
      <alignment vertical="center"/>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9" fillId="0" borderId="33" xfId="0" applyFont="1" applyBorder="1" applyAlignment="1">
      <alignment horizontal="center" vertical="center"/>
    </xf>
    <xf numFmtId="0" fontId="8" fillId="0" borderId="34" xfId="0" applyFont="1" applyBorder="1" applyAlignment="1">
      <alignment horizontal="center" vertical="center"/>
    </xf>
    <xf numFmtId="0" fontId="8" fillId="0" borderId="63" xfId="0" applyFont="1" applyBorder="1" applyAlignment="1">
      <alignment horizontal="center" vertical="center"/>
    </xf>
    <xf numFmtId="0" fontId="9" fillId="0" borderId="62" xfId="0" applyFont="1" applyBorder="1" applyAlignment="1">
      <alignment horizontal="center" vertical="center"/>
    </xf>
    <xf numFmtId="0" fontId="8" fillId="0" borderId="46" xfId="0" applyFont="1" applyBorder="1" applyAlignment="1">
      <alignment horizontal="center" vertical="center"/>
    </xf>
    <xf numFmtId="0" fontId="8" fillId="0" borderId="76" xfId="0" applyFont="1" applyBorder="1" applyAlignment="1">
      <alignment horizontal="left" vertical="center"/>
    </xf>
    <xf numFmtId="0" fontId="8" fillId="0" borderId="1" xfId="0" applyFont="1" applyBorder="1" applyAlignment="1">
      <alignment vertical="center"/>
    </xf>
    <xf numFmtId="0" fontId="8" fillId="0" borderId="5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51"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86" xfId="0" applyFont="1" applyBorder="1" applyAlignment="1">
      <alignment horizontal="center" vertical="center"/>
    </xf>
    <xf numFmtId="0" fontId="3" fillId="0" borderId="45" xfId="0" applyFont="1" applyBorder="1" applyAlignment="1">
      <alignment horizontal="center" vertical="center"/>
    </xf>
    <xf numFmtId="0" fontId="3" fillId="0" borderId="37" xfId="0" applyFont="1" applyBorder="1" applyAlignment="1">
      <alignment horizontal="center" vertical="center"/>
    </xf>
    <xf numFmtId="0" fontId="3" fillId="0" borderId="56" xfId="0" applyFont="1" applyBorder="1" applyAlignment="1">
      <alignment horizontal="center" vertical="center"/>
    </xf>
    <xf numFmtId="0" fontId="5" fillId="0" borderId="0" xfId="0" applyFont="1" applyAlignment="1">
      <alignment horizontal="right" vertical="center"/>
    </xf>
    <xf numFmtId="0" fontId="3" fillId="0" borderId="20" xfId="0" applyFont="1" applyBorder="1">
      <alignment vertical="center"/>
    </xf>
    <xf numFmtId="0" fontId="3" fillId="0" borderId="24" xfId="0" applyFont="1" applyBorder="1">
      <alignment vertical="center"/>
    </xf>
    <xf numFmtId="0" fontId="3" fillId="0" borderId="22" xfId="0" applyFont="1" applyBorder="1">
      <alignment vertical="center"/>
    </xf>
    <xf numFmtId="0" fontId="3" fillId="0" borderId="2" xfId="0" applyFont="1" applyBorder="1" applyAlignment="1">
      <alignment horizontal="left" vertical="center"/>
    </xf>
    <xf numFmtId="0" fontId="3" fillId="3" borderId="36" xfId="0" applyFont="1" applyFill="1" applyBorder="1" applyAlignment="1" applyProtection="1">
      <alignment horizontal="center" vertical="center"/>
      <protection locked="0"/>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8" fillId="0" borderId="106" xfId="0" applyFont="1" applyBorder="1" applyAlignment="1">
      <alignment horizontal="center" vertical="center"/>
    </xf>
    <xf numFmtId="0" fontId="8" fillId="0" borderId="110" xfId="0" applyFont="1" applyBorder="1" applyAlignment="1">
      <alignment horizontal="center" vertical="center"/>
    </xf>
    <xf numFmtId="0" fontId="3" fillId="0" borderId="20"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51" xfId="0" applyFont="1" applyBorder="1" applyAlignment="1">
      <alignment horizontal="left" vertical="center"/>
    </xf>
    <xf numFmtId="0" fontId="8" fillId="3" borderId="28" xfId="0"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5" xfId="0" applyFont="1" applyFill="1" applyBorder="1" applyAlignment="1">
      <alignment horizontal="center" vertical="center"/>
    </xf>
    <xf numFmtId="0" fontId="3" fillId="6" borderId="2" xfId="0" applyFont="1" applyFill="1" applyBorder="1" applyAlignment="1" applyProtection="1">
      <alignment horizontal="center" vertical="center" shrinkToFit="1"/>
      <protection locked="0"/>
    </xf>
    <xf numFmtId="0" fontId="3" fillId="6" borderId="4"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shrinkToFit="1"/>
      <protection locked="0"/>
    </xf>
    <xf numFmtId="0" fontId="3" fillId="3" borderId="4" xfId="0" applyFont="1" applyFill="1" applyBorder="1" applyAlignment="1" applyProtection="1">
      <alignment horizontal="center" vertical="center" shrinkToFit="1"/>
      <protection locked="0"/>
    </xf>
    <xf numFmtId="0" fontId="3" fillId="7" borderId="12" xfId="0" applyFont="1" applyFill="1" applyBorder="1" applyAlignment="1" applyProtection="1">
      <alignment horizontal="center" vertical="center" shrinkToFit="1"/>
      <protection locked="0"/>
    </xf>
    <xf numFmtId="0" fontId="3" fillId="7" borderId="13" xfId="0" applyFont="1" applyFill="1" applyBorder="1" applyAlignment="1" applyProtection="1">
      <alignment horizontal="center" vertical="center" shrinkToFit="1"/>
      <protection locked="0"/>
    </xf>
    <xf numFmtId="0" fontId="3" fillId="0" borderId="5" xfId="0" applyFont="1" applyFill="1" applyBorder="1" applyAlignment="1">
      <alignment horizontal="center" vertical="center"/>
    </xf>
    <xf numFmtId="0" fontId="3" fillId="0" borderId="0" xfId="0" applyFont="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9"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79" xfId="0" applyFont="1" applyFill="1" applyBorder="1" applyAlignment="1" applyProtection="1">
      <alignment horizontal="center" vertical="center"/>
      <protection locked="0"/>
    </xf>
    <xf numFmtId="0" fontId="3" fillId="5" borderId="47"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64" xfId="0" applyFont="1" applyFill="1" applyBorder="1" applyAlignment="1">
      <alignment horizontal="center" vertical="center"/>
    </xf>
    <xf numFmtId="0" fontId="3" fillId="0" borderId="44" xfId="0" applyFont="1" applyBorder="1" applyAlignment="1">
      <alignment horizontal="center" vertical="center"/>
    </xf>
    <xf numFmtId="0" fontId="3" fillId="0" borderId="0" xfId="0" applyFont="1" applyBorder="1" applyAlignment="1">
      <alignment horizontal="center" vertical="center"/>
    </xf>
    <xf numFmtId="0" fontId="3" fillId="0" borderId="47" xfId="0" applyFont="1" applyBorder="1" applyAlignment="1">
      <alignment horizontal="center" vertical="center"/>
    </xf>
    <xf numFmtId="0" fontId="3" fillId="5" borderId="73" xfId="0" applyFont="1" applyFill="1" applyBorder="1" applyAlignment="1">
      <alignment horizontal="center" vertical="center"/>
    </xf>
    <xf numFmtId="0" fontId="3" fillId="5" borderId="74" xfId="0" applyFont="1" applyFill="1" applyBorder="1" applyAlignment="1">
      <alignment horizontal="center" vertical="center"/>
    </xf>
    <xf numFmtId="0" fontId="3" fillId="3" borderId="12" xfId="0" applyFont="1" applyFill="1" applyBorder="1" applyAlignment="1">
      <alignment horizontal="center" vertical="center"/>
    </xf>
    <xf numFmtId="0" fontId="10" fillId="5" borderId="80" xfId="0" applyFont="1" applyFill="1" applyBorder="1" applyAlignment="1">
      <alignment horizontal="center" vertical="center"/>
    </xf>
    <xf numFmtId="0" fontId="10" fillId="5" borderId="19"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5" borderId="75" xfId="0" applyFont="1" applyFill="1" applyBorder="1" applyAlignment="1">
      <alignment horizontal="center" vertical="center"/>
    </xf>
    <xf numFmtId="0" fontId="3" fillId="5" borderId="59" xfId="0" applyFont="1" applyFill="1" applyBorder="1" applyAlignment="1">
      <alignment horizontal="center" vertical="center"/>
    </xf>
    <xf numFmtId="0" fontId="10" fillId="5" borderId="1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57" xfId="0" applyFont="1" applyFill="1" applyBorder="1" applyAlignment="1">
      <alignment horizontal="center" vertical="center"/>
    </xf>
    <xf numFmtId="0" fontId="3" fillId="5" borderId="72" xfId="0" applyFont="1" applyFill="1" applyBorder="1" applyAlignment="1">
      <alignment horizontal="center" vertical="center"/>
    </xf>
    <xf numFmtId="0" fontId="10" fillId="5" borderId="12" xfId="0" applyFont="1" applyFill="1" applyBorder="1" applyAlignment="1">
      <alignment horizontal="center" vertical="center"/>
    </xf>
    <xf numFmtId="0" fontId="3" fillId="5" borderId="70" xfId="0" applyFont="1" applyFill="1" applyBorder="1" applyAlignment="1">
      <alignment horizontal="center" vertical="center"/>
    </xf>
    <xf numFmtId="0" fontId="3" fillId="5" borderId="71"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7" xfId="0" applyFont="1" applyFill="1" applyBorder="1" applyAlignment="1">
      <alignment horizontal="center" vertical="center"/>
    </xf>
    <xf numFmtId="0" fontId="19" fillId="0" borderId="1" xfId="2" applyBorder="1" applyAlignment="1">
      <alignment horizontal="center" vertical="center"/>
    </xf>
    <xf numFmtId="0" fontId="20" fillId="0" borderId="1" xfId="2" applyFont="1" applyBorder="1" applyAlignment="1">
      <alignment horizontal="center" vertical="center"/>
    </xf>
    <xf numFmtId="0" fontId="20" fillId="0" borderId="18" xfId="2" applyFont="1" applyBorder="1" applyAlignment="1">
      <alignment horizontal="center" vertical="center"/>
    </xf>
    <xf numFmtId="0" fontId="3" fillId="0" borderId="83" xfId="0" applyFont="1" applyBorder="1" applyAlignment="1">
      <alignment horizontal="center" vertical="center"/>
    </xf>
    <xf numFmtId="0" fontId="3" fillId="0" borderId="15" xfId="0" applyFont="1" applyBorder="1" applyAlignment="1">
      <alignment horizontal="center" vertical="center"/>
    </xf>
    <xf numFmtId="0" fontId="3" fillId="3" borderId="11"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98" xfId="0" applyFont="1" applyFill="1" applyBorder="1" applyAlignment="1" applyProtection="1">
      <alignment horizontal="center" vertical="center"/>
      <protection locked="0"/>
    </xf>
    <xf numFmtId="0" fontId="3" fillId="3" borderId="34"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0" borderId="60" xfId="0" applyFont="1" applyBorder="1" applyAlignment="1">
      <alignment horizontal="center"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0" fontId="3" fillId="0" borderId="61" xfId="0" applyFont="1" applyBorder="1" applyAlignment="1">
      <alignment horizontal="center" vertical="center"/>
    </xf>
    <xf numFmtId="0" fontId="3" fillId="0" borderId="22" xfId="0" applyFont="1" applyBorder="1" applyAlignment="1">
      <alignment horizontal="center" vertical="center"/>
    </xf>
    <xf numFmtId="0" fontId="5" fillId="0" borderId="67"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27" xfId="0" applyFont="1" applyBorder="1" applyAlignment="1">
      <alignment horizontal="center" vertical="center" textRotation="255"/>
    </xf>
    <xf numFmtId="0" fontId="5" fillId="0" borderId="0" xfId="0" applyFont="1" applyAlignment="1">
      <alignment horizontal="left" vertical="center"/>
    </xf>
    <xf numFmtId="177" fontId="3" fillId="3" borderId="15" xfId="0" applyNumberFormat="1" applyFont="1" applyFill="1" applyBorder="1" applyAlignment="1" applyProtection="1">
      <alignment horizontal="center" vertical="center"/>
      <protection locked="0"/>
    </xf>
    <xf numFmtId="177" fontId="3" fillId="3" borderId="17" xfId="0" applyNumberFormat="1" applyFont="1" applyFill="1" applyBorder="1" applyAlignment="1" applyProtection="1">
      <alignment horizontal="center" vertical="center"/>
      <protection locked="0"/>
    </xf>
    <xf numFmtId="0" fontId="10" fillId="0" borderId="1" xfId="2" applyFont="1" applyBorder="1" applyAlignment="1">
      <alignment horizontal="center" vertical="center"/>
    </xf>
    <xf numFmtId="0" fontId="10" fillId="0" borderId="18" xfId="2" applyFont="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178" fontId="21" fillId="0" borderId="11" xfId="0" applyNumberFormat="1" applyFont="1" applyBorder="1" applyAlignment="1">
      <alignment horizontal="center" vertical="center"/>
    </xf>
    <xf numFmtId="178" fontId="3" fillId="0" borderId="11" xfId="0" applyNumberFormat="1" applyFont="1" applyBorder="1" applyAlignment="1">
      <alignment horizontal="center" vertical="center"/>
    </xf>
    <xf numFmtId="178" fontId="3" fillId="0" borderId="14" xfId="0" applyNumberFormat="1" applyFont="1" applyBorder="1" applyAlignment="1">
      <alignment horizontal="center" vertical="center"/>
    </xf>
    <xf numFmtId="0" fontId="3" fillId="5" borderId="4"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76" xfId="0" applyFont="1" applyFill="1" applyBorder="1" applyAlignment="1">
      <alignment horizontal="center" vertical="center"/>
    </xf>
    <xf numFmtId="0" fontId="3" fillId="3" borderId="37"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6" borderId="21" xfId="0" applyFont="1" applyFill="1" applyBorder="1" applyAlignment="1">
      <alignment horizontal="center" vertical="center"/>
    </xf>
    <xf numFmtId="0" fontId="3" fillId="6" borderId="6"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55" xfId="0" applyFont="1" applyFill="1" applyBorder="1" applyAlignment="1">
      <alignment horizontal="center" vertical="center"/>
    </xf>
    <xf numFmtId="0" fontId="6" fillId="0" borderId="1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shrinkToFit="1"/>
      <protection locked="0"/>
    </xf>
    <xf numFmtId="0" fontId="6" fillId="0" borderId="18" xfId="0" applyFont="1" applyFill="1" applyBorder="1" applyAlignment="1" applyProtection="1">
      <alignment horizontal="center" vertical="center" wrapText="1" shrinkToFit="1"/>
      <protection locked="0"/>
    </xf>
    <xf numFmtId="0" fontId="3" fillId="0" borderId="96"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113" xfId="0" applyFont="1" applyFill="1" applyBorder="1" applyAlignment="1" applyProtection="1">
      <alignment horizontal="center" vertical="center"/>
      <protection locked="0"/>
    </xf>
    <xf numFmtId="0" fontId="3" fillId="0" borderId="114" xfId="0" applyFont="1" applyFill="1" applyBorder="1" applyAlignment="1" applyProtection="1">
      <alignment horizontal="center" vertical="center"/>
      <protection locked="0"/>
    </xf>
    <xf numFmtId="0" fontId="3" fillId="0" borderId="117" xfId="0" applyFont="1" applyFill="1" applyBorder="1" applyAlignment="1" applyProtection="1">
      <alignment horizontal="center" vertical="center"/>
      <protection locked="0"/>
    </xf>
    <xf numFmtId="0" fontId="3" fillId="0" borderId="118" xfId="0" applyFont="1" applyFill="1" applyBorder="1" applyAlignment="1" applyProtection="1">
      <alignment horizontal="center" vertical="center"/>
      <protection locked="0"/>
    </xf>
    <xf numFmtId="0" fontId="3" fillId="6" borderId="20" xfId="0" applyFont="1" applyFill="1" applyBorder="1" applyAlignment="1" applyProtection="1">
      <alignment horizontal="center" vertical="center" shrinkToFit="1"/>
      <protection locked="0"/>
    </xf>
    <xf numFmtId="0" fontId="3" fillId="6" borderId="21"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8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15" xfId="0" applyFont="1" applyFill="1" applyBorder="1" applyAlignment="1" applyProtection="1">
      <alignment horizontal="center" vertical="center" shrinkToFit="1"/>
      <protection locked="0"/>
    </xf>
    <xf numFmtId="0" fontId="3" fillId="3" borderId="111" xfId="0" applyFont="1" applyFill="1" applyBorder="1" applyAlignment="1" applyProtection="1">
      <alignment horizontal="center" vertical="center" shrinkToFit="1"/>
      <protection locked="0"/>
    </xf>
    <xf numFmtId="0" fontId="3" fillId="5" borderId="76" xfId="0" applyFont="1" applyFill="1" applyBorder="1" applyAlignment="1" applyProtection="1">
      <alignment horizontal="center" vertical="center" shrinkToFit="1"/>
      <protection locked="0"/>
    </xf>
    <xf numFmtId="0" fontId="3" fillId="5" borderId="9" xfId="0" applyFont="1" applyFill="1" applyBorder="1" applyAlignment="1" applyProtection="1">
      <alignment horizontal="center" vertical="center" shrinkToFit="1"/>
      <protection locked="0"/>
    </xf>
    <xf numFmtId="0" fontId="3" fillId="5" borderId="116" xfId="0" applyFont="1" applyFill="1" applyBorder="1" applyAlignment="1" applyProtection="1">
      <alignment horizontal="center" vertical="center" shrinkToFit="1"/>
      <protection locked="0"/>
    </xf>
    <xf numFmtId="0" fontId="3" fillId="5" borderId="101" xfId="0" applyFont="1" applyFill="1" applyBorder="1" applyAlignment="1" applyProtection="1">
      <alignment horizontal="center" vertical="center" shrinkToFit="1"/>
      <protection locked="0"/>
    </xf>
    <xf numFmtId="0" fontId="3" fillId="5" borderId="61" xfId="0" applyFont="1" applyFill="1" applyBorder="1" applyAlignment="1" applyProtection="1">
      <alignment horizontal="center" vertical="center" shrinkToFit="1"/>
      <protection locked="0"/>
    </xf>
    <xf numFmtId="0" fontId="3" fillId="5" borderId="22"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wrapText="1" shrinkToFit="1"/>
      <protection locked="0"/>
    </xf>
    <xf numFmtId="0" fontId="6" fillId="3" borderId="18" xfId="0" applyFont="1" applyFill="1" applyBorder="1" applyAlignment="1" applyProtection="1">
      <alignment horizontal="center" vertical="center" wrapText="1" shrinkToFit="1"/>
      <protection locked="0"/>
    </xf>
    <xf numFmtId="0" fontId="6" fillId="7" borderId="87" xfId="0" applyFont="1" applyFill="1" applyBorder="1" applyAlignment="1" applyProtection="1">
      <alignment horizontal="center" vertical="center" wrapText="1" shrinkToFit="1"/>
      <protection locked="0"/>
    </xf>
    <xf numFmtId="0" fontId="6" fillId="7" borderId="88" xfId="0" applyFont="1" applyFill="1" applyBorder="1" applyAlignment="1" applyProtection="1">
      <alignment horizontal="center" vertical="center" wrapText="1" shrinkToFit="1"/>
      <protection locked="0"/>
    </xf>
    <xf numFmtId="0" fontId="6" fillId="7" borderId="112" xfId="0" applyFont="1" applyFill="1" applyBorder="1" applyAlignment="1" applyProtection="1">
      <alignment horizontal="center" vertical="center" wrapText="1" shrinkToFit="1"/>
      <protection locked="0"/>
    </xf>
    <xf numFmtId="0" fontId="3" fillId="2" borderId="20"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7" borderId="87" xfId="0" applyFont="1" applyFill="1" applyBorder="1" applyAlignment="1">
      <alignment horizontal="center" vertical="center" wrapText="1"/>
    </xf>
    <xf numFmtId="0" fontId="3" fillId="7" borderId="42" xfId="0" applyFont="1" applyFill="1" applyBorder="1" applyAlignment="1">
      <alignment horizontal="center" vertical="center" wrapText="1"/>
    </xf>
    <xf numFmtId="0" fontId="6" fillId="3" borderId="6" xfId="0" applyFont="1" applyFill="1" applyBorder="1" applyAlignment="1" applyProtection="1">
      <alignment horizontal="center" vertical="center" wrapText="1" shrinkToFit="1"/>
      <protection locked="0"/>
    </xf>
    <xf numFmtId="0" fontId="6" fillId="3" borderId="7" xfId="0" applyFont="1" applyFill="1" applyBorder="1" applyAlignment="1" applyProtection="1">
      <alignment horizontal="center" vertical="center" wrapText="1" shrinkToFit="1"/>
      <protection locked="0"/>
    </xf>
    <xf numFmtId="0" fontId="3" fillId="3" borderId="1" xfId="0" applyFont="1" applyFill="1" applyBorder="1" applyAlignment="1" applyProtection="1">
      <alignment horizontal="center" vertical="center" shrinkToFit="1"/>
      <protection locked="0"/>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shrinkToFit="1"/>
      <protection locked="0"/>
    </xf>
    <xf numFmtId="0" fontId="3" fillId="2" borderId="6" xfId="0" applyFont="1" applyFill="1" applyBorder="1" applyAlignment="1">
      <alignment horizontal="center" vertical="center" shrinkToFit="1"/>
    </xf>
    <xf numFmtId="0" fontId="6" fillId="0" borderId="11" xfId="0" applyFont="1" applyFill="1" applyBorder="1" applyAlignment="1" applyProtection="1">
      <alignment horizontal="center" vertical="center" wrapText="1" shrinkToFit="1"/>
      <protection locked="0"/>
    </xf>
    <xf numFmtId="0" fontId="6" fillId="0" borderId="14" xfId="0" applyFont="1" applyFill="1" applyBorder="1" applyAlignment="1" applyProtection="1">
      <alignment horizontal="center" vertical="center" wrapText="1" shrinkToFit="1"/>
      <protection locked="0"/>
    </xf>
    <xf numFmtId="0" fontId="3" fillId="3" borderId="96" xfId="0" applyFont="1" applyFill="1" applyBorder="1" applyAlignment="1">
      <alignment horizontal="center" vertical="center"/>
    </xf>
    <xf numFmtId="0" fontId="3" fillId="3" borderId="98" xfId="0" applyFont="1" applyFill="1" applyBorder="1" applyAlignment="1">
      <alignment horizontal="center" vertical="center"/>
    </xf>
    <xf numFmtId="0" fontId="3" fillId="0" borderId="63" xfId="0" applyFont="1" applyBorder="1" applyAlignment="1">
      <alignment horizontal="left" vertical="center"/>
    </xf>
    <xf numFmtId="0" fontId="3" fillId="3" borderId="31"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8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3" borderId="6" xfId="0" applyFont="1" applyFill="1" applyBorder="1" applyAlignment="1" applyProtection="1">
      <alignment horizontal="center" vertical="center" shrinkToFit="1"/>
      <protection locked="0"/>
    </xf>
    <xf numFmtId="0" fontId="3" fillId="3" borderId="119"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7" borderId="88" xfId="0" applyFont="1" applyFill="1" applyBorder="1" applyAlignment="1" applyProtection="1">
      <alignment horizontal="center" vertical="center" shrinkToFit="1"/>
      <protection locked="0"/>
    </xf>
    <xf numFmtId="0" fontId="3" fillId="7" borderId="42" xfId="0" applyFont="1" applyFill="1" applyBorder="1" applyAlignment="1" applyProtection="1">
      <alignment horizontal="center" vertical="center" shrinkToFit="1"/>
      <protection locked="0"/>
    </xf>
    <xf numFmtId="0" fontId="3" fillId="7" borderId="87" xfId="0" applyFont="1" applyFill="1" applyBorder="1" applyAlignment="1" applyProtection="1">
      <alignment horizontal="center" vertical="center" shrinkToFit="1"/>
      <protection locked="0"/>
    </xf>
    <xf numFmtId="0" fontId="6" fillId="7" borderId="42" xfId="0" applyFont="1" applyFill="1" applyBorder="1" applyAlignment="1" applyProtection="1">
      <alignment horizontal="center" vertical="center" wrapText="1" shrinkToFit="1"/>
      <protection locked="0"/>
    </xf>
    <xf numFmtId="0" fontId="3" fillId="2" borderId="34" xfId="0" applyFont="1" applyFill="1" applyBorder="1" applyAlignment="1" applyProtection="1">
      <alignment horizontal="center" vertical="center" wrapText="1" shrinkToFit="1"/>
      <protection locked="0"/>
    </xf>
    <xf numFmtId="0" fontId="3" fillId="2" borderId="46" xfId="0" applyFont="1" applyFill="1" applyBorder="1" applyAlignment="1" applyProtection="1">
      <alignment horizontal="center" vertical="center" wrapText="1" shrinkToFit="1"/>
      <protection locked="0"/>
    </xf>
    <xf numFmtId="0" fontId="3" fillId="2" borderId="6" xfId="0" applyFont="1" applyFill="1" applyBorder="1" applyAlignment="1" applyProtection="1">
      <alignment horizontal="center" vertical="center" shrinkToFit="1"/>
      <protection locked="0"/>
    </xf>
    <xf numFmtId="0" fontId="6" fillId="0" borderId="87" xfId="0" applyFont="1" applyFill="1" applyBorder="1" applyAlignment="1" applyProtection="1">
      <alignment horizontal="center" vertical="center" wrapText="1" shrinkToFit="1"/>
      <protection locked="0"/>
    </xf>
    <xf numFmtId="0" fontId="6" fillId="0" borderId="88" xfId="0" applyFont="1" applyFill="1" applyBorder="1" applyAlignment="1" applyProtection="1">
      <alignment horizontal="center" vertical="center" wrapText="1" shrinkToFit="1"/>
      <protection locked="0"/>
    </xf>
    <xf numFmtId="0" fontId="6" fillId="0" borderId="42" xfId="0" applyFont="1" applyFill="1" applyBorder="1" applyAlignment="1" applyProtection="1">
      <alignment horizontal="center" vertical="center" wrapText="1" shrinkToFit="1"/>
      <protection locked="0"/>
    </xf>
    <xf numFmtId="0" fontId="3" fillId="3" borderId="11" xfId="0" applyFont="1" applyFill="1" applyBorder="1" applyAlignment="1">
      <alignment horizontal="center" vertical="center" wrapText="1"/>
    </xf>
    <xf numFmtId="0" fontId="6" fillId="3" borderId="11" xfId="0" applyFont="1" applyFill="1" applyBorder="1" applyAlignment="1" applyProtection="1">
      <alignment horizontal="center" vertical="center" wrapText="1" shrinkToFit="1"/>
      <protection locked="0"/>
    </xf>
    <xf numFmtId="0" fontId="6" fillId="3" borderId="14" xfId="0" applyFont="1" applyFill="1" applyBorder="1" applyAlignment="1" applyProtection="1">
      <alignment horizontal="center" vertical="center" wrapText="1" shrinkToFit="1"/>
      <protection locked="0"/>
    </xf>
    <xf numFmtId="0" fontId="3" fillId="2" borderId="21" xfId="0" applyFont="1" applyFill="1" applyBorder="1" applyAlignment="1">
      <alignment horizontal="center" vertical="center" shrinkToFit="1"/>
    </xf>
    <xf numFmtId="0" fontId="3" fillId="3" borderId="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3"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87" xfId="0"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33" fillId="0" borderId="0" xfId="0" applyFont="1" applyFill="1" applyBorder="1" applyAlignment="1">
      <alignment horizontal="left" vertical="top" wrapText="1"/>
    </xf>
    <xf numFmtId="0" fontId="0" fillId="3" borderId="93"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94" xfId="0" applyFont="1" applyFill="1" applyBorder="1" applyAlignment="1">
      <alignment horizontal="left" vertical="top" wrapText="1"/>
    </xf>
    <xf numFmtId="0" fontId="0" fillId="3" borderId="99" xfId="0" applyFont="1" applyFill="1" applyBorder="1" applyAlignment="1">
      <alignment horizontal="left" vertical="top" wrapText="1"/>
    </xf>
    <xf numFmtId="0" fontId="0" fillId="3" borderId="67" xfId="0" applyFont="1" applyFill="1" applyBorder="1" applyAlignment="1">
      <alignment horizontal="left" vertical="top" wrapText="1"/>
    </xf>
    <xf numFmtId="0" fontId="0" fillId="3" borderId="101" xfId="0" applyFont="1" applyFill="1" applyBorder="1" applyAlignment="1">
      <alignment horizontal="left" vertical="top" wrapText="1"/>
    </xf>
    <xf numFmtId="0" fontId="13" fillId="0" borderId="67" xfId="0" applyFont="1" applyFill="1" applyBorder="1" applyAlignment="1">
      <alignment horizontal="left" vertical="top" wrapText="1"/>
    </xf>
    <xf numFmtId="0" fontId="24" fillId="0" borderId="0" xfId="0" applyFont="1" applyAlignment="1">
      <alignment horizontal="left" vertical="center" shrinkToFit="1"/>
    </xf>
    <xf numFmtId="0" fontId="3" fillId="3" borderId="83" xfId="0" applyFont="1" applyFill="1" applyBorder="1" applyAlignment="1">
      <alignment horizontal="center" vertical="center"/>
    </xf>
    <xf numFmtId="0" fontId="3" fillId="3" borderId="16" xfId="0" applyFont="1" applyFill="1" applyBorder="1" applyAlignment="1">
      <alignment horizontal="center" vertical="center"/>
    </xf>
    <xf numFmtId="0" fontId="5" fillId="0" borderId="0" xfId="0" applyFont="1" applyBorder="1" applyAlignment="1">
      <alignment horizontal="center" vertical="center" wrapText="1"/>
    </xf>
    <xf numFmtId="0" fontId="6" fillId="3" borderId="6" xfId="0" applyFont="1" applyFill="1" applyBorder="1" applyAlignment="1" applyProtection="1">
      <alignment horizontal="center" vertical="center" shrinkToFit="1"/>
      <protection locked="0"/>
    </xf>
    <xf numFmtId="0" fontId="10" fillId="0" borderId="5" xfId="1" applyFont="1" applyBorder="1" applyAlignment="1" applyProtection="1">
      <alignment horizontal="center" vertical="center"/>
      <protection hidden="1"/>
    </xf>
    <xf numFmtId="0" fontId="10" fillId="0" borderId="8"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5" fillId="0" borderId="1" xfId="1" applyFont="1" applyBorder="1" applyAlignment="1" applyProtection="1">
      <alignment horizontal="center" vertical="center" wrapText="1"/>
      <protection hidden="1"/>
    </xf>
    <xf numFmtId="0" fontId="15" fillId="0" borderId="1" xfId="1" applyFont="1" applyBorder="1" applyAlignment="1" applyProtection="1">
      <alignment horizontal="center" vertical="center"/>
      <protection hidden="1"/>
    </xf>
    <xf numFmtId="0" fontId="15" fillId="0" borderId="12" xfId="1" applyFont="1" applyBorder="1" applyAlignment="1" applyProtection="1">
      <alignment horizontal="center" vertical="center"/>
      <protection hidden="1"/>
    </xf>
    <xf numFmtId="0" fontId="15" fillId="0" borderId="28" xfId="1" applyFont="1" applyBorder="1" applyAlignment="1" applyProtection="1">
      <alignment horizontal="center" vertical="center"/>
      <protection hidden="1"/>
    </xf>
    <xf numFmtId="0" fontId="10" fillId="6" borderId="35" xfId="1" applyFont="1" applyFill="1" applyBorder="1" applyAlignment="1" applyProtection="1">
      <alignment horizontal="center" vertical="center"/>
      <protection hidden="1"/>
    </xf>
    <xf numFmtId="0" fontId="10" fillId="6" borderId="36" xfId="1" applyFont="1" applyFill="1" applyBorder="1" applyAlignment="1" applyProtection="1">
      <alignment horizontal="center" vertical="center"/>
      <protection hidden="1"/>
    </xf>
    <xf numFmtId="0" fontId="10" fillId="6" borderId="41" xfId="1" applyFont="1" applyFill="1" applyBorder="1" applyAlignment="1" applyProtection="1">
      <alignment horizontal="center" vertical="center"/>
      <protection hidden="1"/>
    </xf>
    <xf numFmtId="0" fontId="10" fillId="0" borderId="33" xfId="1" applyFont="1" applyBorder="1" applyAlignment="1" applyProtection="1">
      <alignment horizontal="center" vertical="center" wrapText="1"/>
      <protection hidden="1"/>
    </xf>
    <xf numFmtId="0" fontId="10" fillId="0" borderId="27" xfId="1" applyFont="1" applyBorder="1" applyAlignment="1" applyProtection="1">
      <alignment horizontal="center" vertical="center" wrapText="1"/>
      <protection hidden="1"/>
    </xf>
    <xf numFmtId="0" fontId="10" fillId="0" borderId="29" xfId="1" applyFont="1" applyBorder="1" applyAlignment="1" applyProtection="1">
      <alignment horizontal="center" vertical="center" wrapText="1"/>
      <protection hidden="1"/>
    </xf>
    <xf numFmtId="0" fontId="14" fillId="0" borderId="0" xfId="1" applyFont="1" applyAlignment="1">
      <alignment horizontal="center" vertical="center"/>
    </xf>
    <xf numFmtId="0" fontId="10" fillId="7" borderId="35" xfId="1" applyFont="1" applyFill="1" applyBorder="1" applyAlignment="1" applyProtection="1">
      <alignment horizontal="center" vertical="center"/>
      <protection hidden="1"/>
    </xf>
    <xf numFmtId="0" fontId="10" fillId="7" borderId="36" xfId="1" applyFont="1" applyFill="1" applyBorder="1" applyAlignment="1" applyProtection="1">
      <alignment horizontal="center" vertical="center"/>
      <protection hidden="1"/>
    </xf>
    <xf numFmtId="0" fontId="10" fillId="7" borderId="41" xfId="1" applyFont="1" applyFill="1" applyBorder="1" applyAlignment="1" applyProtection="1">
      <alignment horizontal="center" vertical="center"/>
      <protection hidden="1"/>
    </xf>
    <xf numFmtId="0" fontId="10" fillId="0" borderId="26" xfId="1" applyFont="1" applyBorder="1" applyAlignment="1" applyProtection="1">
      <alignment horizontal="center" vertical="center"/>
      <protection hidden="1"/>
    </xf>
    <xf numFmtId="0" fontId="8" fillId="7" borderId="87" xfId="0" applyFont="1" applyFill="1" applyBorder="1" applyAlignment="1">
      <alignment horizontal="center" vertical="center"/>
    </xf>
    <xf numFmtId="0" fontId="8" fillId="7" borderId="88" xfId="0" applyFont="1" applyFill="1" applyBorder="1" applyAlignment="1">
      <alignment horizontal="center" vertical="center"/>
    </xf>
    <xf numFmtId="0" fontId="8" fillId="7" borderId="42"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4" xfId="0" applyFont="1" applyFill="1" applyBorder="1" applyAlignment="1">
      <alignment horizontal="center" vertical="center"/>
    </xf>
    <xf numFmtId="0" fontId="8" fillId="11" borderId="87" xfId="0" applyFont="1" applyFill="1" applyBorder="1" applyAlignment="1">
      <alignment horizontal="center" vertical="center"/>
    </xf>
    <xf numFmtId="0" fontId="8" fillId="11" borderId="88" xfId="0" applyFont="1" applyFill="1" applyBorder="1" applyAlignment="1">
      <alignment horizontal="center" vertical="center"/>
    </xf>
    <xf numFmtId="0" fontId="8" fillId="11" borderId="42"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87" xfId="0" applyFont="1" applyFill="1" applyBorder="1" applyAlignment="1">
      <alignment horizontal="center" vertical="center"/>
    </xf>
    <xf numFmtId="0" fontId="8" fillId="3" borderId="88" xfId="0" applyFont="1" applyFill="1" applyBorder="1" applyAlignment="1">
      <alignment horizontal="center" vertical="center"/>
    </xf>
    <xf numFmtId="0" fontId="8" fillId="3" borderId="42" xfId="0" applyFont="1" applyFill="1" applyBorder="1" applyAlignment="1">
      <alignment horizontal="center" vertical="center"/>
    </xf>
    <xf numFmtId="0" fontId="8" fillId="11" borderId="32" xfId="0" applyFont="1" applyFill="1" applyBorder="1" applyAlignment="1">
      <alignment horizontal="center" vertical="center"/>
    </xf>
    <xf numFmtId="0" fontId="8" fillId="7" borderId="32" xfId="0" applyFont="1" applyFill="1" applyBorder="1" applyAlignment="1">
      <alignment horizontal="center" vertical="center"/>
    </xf>
    <xf numFmtId="0" fontId="8" fillId="11" borderId="1" xfId="0" applyFont="1" applyFill="1" applyBorder="1" applyAlignment="1">
      <alignment horizontal="center" vertical="center"/>
    </xf>
    <xf numFmtId="0" fontId="8" fillId="3" borderId="32" xfId="0" applyFont="1" applyFill="1" applyBorder="1" applyAlignment="1">
      <alignment horizontal="center" vertical="center"/>
    </xf>
    <xf numFmtId="0" fontId="8" fillId="7" borderId="56" xfId="0" applyFont="1" applyFill="1" applyBorder="1" applyAlignment="1">
      <alignment horizontal="center" vertical="center"/>
    </xf>
    <xf numFmtId="0" fontId="8" fillId="7" borderId="45" xfId="0" applyFont="1" applyFill="1" applyBorder="1" applyAlignment="1">
      <alignment horizontal="center" vertical="center"/>
    </xf>
    <xf numFmtId="0" fontId="8" fillId="7" borderId="37" xfId="0" applyFont="1" applyFill="1" applyBorder="1" applyAlignment="1">
      <alignment horizontal="center" vertical="center"/>
    </xf>
    <xf numFmtId="0" fontId="8" fillId="11" borderId="56" xfId="0" applyFont="1" applyFill="1" applyBorder="1" applyAlignment="1">
      <alignment horizontal="center" vertical="center"/>
    </xf>
    <xf numFmtId="0" fontId="8" fillId="11" borderId="45" xfId="0" applyFont="1" applyFill="1" applyBorder="1" applyAlignment="1">
      <alignment horizontal="center" vertical="center"/>
    </xf>
    <xf numFmtId="0" fontId="8" fillId="11" borderId="37"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56" xfId="0" applyFont="1" applyFill="1" applyBorder="1" applyAlignment="1">
      <alignment horizontal="center" vertical="center"/>
    </xf>
    <xf numFmtId="0" fontId="8" fillId="3" borderId="45" xfId="0" applyFont="1" applyFill="1" applyBorder="1" applyAlignment="1">
      <alignment horizontal="center" vertical="center"/>
    </xf>
    <xf numFmtId="0" fontId="8" fillId="7" borderId="1" xfId="0" applyFont="1" applyFill="1" applyBorder="1" applyAlignment="1">
      <alignment horizontal="center" vertical="center"/>
    </xf>
    <xf numFmtId="56" fontId="8" fillId="7" borderId="23" xfId="0" applyNumberFormat="1" applyFont="1" applyFill="1" applyBorder="1" applyAlignment="1">
      <alignment horizontal="center" vertical="center" wrapText="1"/>
    </xf>
    <xf numFmtId="56" fontId="8" fillId="7" borderId="43" xfId="0" applyNumberFormat="1" applyFont="1" applyFill="1" applyBorder="1" applyAlignment="1">
      <alignment horizontal="center" vertical="center" wrapText="1"/>
    </xf>
    <xf numFmtId="56" fontId="8" fillId="7" borderId="32" xfId="0" applyNumberFormat="1" applyFont="1" applyFill="1" applyBorder="1" applyAlignment="1">
      <alignment horizontal="center" vertical="center" wrapText="1"/>
    </xf>
    <xf numFmtId="56" fontId="8" fillId="7" borderId="2" xfId="0" applyNumberFormat="1" applyFont="1" applyFill="1" applyBorder="1" applyAlignment="1">
      <alignment horizontal="center" vertical="center"/>
    </xf>
    <xf numFmtId="56" fontId="8" fillId="7" borderId="3" xfId="0" applyNumberFormat="1" applyFont="1" applyFill="1" applyBorder="1" applyAlignment="1">
      <alignment horizontal="center" vertical="center"/>
    </xf>
    <xf numFmtId="56" fontId="8" fillId="7" borderId="4" xfId="0" applyNumberFormat="1" applyFont="1" applyFill="1" applyBorder="1" applyAlignment="1">
      <alignment horizontal="center" vertical="center"/>
    </xf>
    <xf numFmtId="0" fontId="8" fillId="7" borderId="44" xfId="0" applyFont="1" applyFill="1" applyBorder="1" applyAlignment="1">
      <alignment horizontal="center" vertical="center"/>
    </xf>
    <xf numFmtId="0" fontId="8" fillId="7" borderId="47" xfId="0" applyFont="1" applyFill="1" applyBorder="1" applyAlignment="1">
      <alignment horizontal="center" vertical="center"/>
    </xf>
    <xf numFmtId="0" fontId="8" fillId="0" borderId="44" xfId="0" applyFont="1" applyBorder="1" applyAlignment="1">
      <alignment horizontal="center" vertical="center"/>
    </xf>
    <xf numFmtId="0" fontId="8" fillId="0" borderId="0" xfId="0" applyFont="1" applyBorder="1" applyAlignment="1">
      <alignment horizontal="center" vertical="center"/>
    </xf>
    <xf numFmtId="0" fontId="8" fillId="0" borderId="47" xfId="0" applyFont="1" applyBorder="1" applyAlignment="1">
      <alignment horizontal="center" vertical="center"/>
    </xf>
    <xf numFmtId="0" fontId="8" fillId="0" borderId="56" xfId="0" applyFont="1" applyBorder="1" applyAlignment="1">
      <alignment horizontal="center" vertical="center"/>
    </xf>
    <xf numFmtId="0" fontId="8" fillId="0" borderId="45" xfId="0" applyFont="1" applyBorder="1" applyAlignment="1">
      <alignment horizontal="center" vertical="center"/>
    </xf>
    <xf numFmtId="0" fontId="8" fillId="0" borderId="37" xfId="0" applyFont="1" applyBorder="1" applyAlignment="1">
      <alignment horizontal="center" vertical="center"/>
    </xf>
    <xf numFmtId="56" fontId="8" fillId="11" borderId="2" xfId="0" applyNumberFormat="1" applyFont="1" applyFill="1" applyBorder="1" applyAlignment="1">
      <alignment horizontal="center" vertical="center"/>
    </xf>
    <xf numFmtId="56" fontId="8" fillId="11" borderId="3" xfId="0" applyNumberFormat="1" applyFont="1" applyFill="1" applyBorder="1" applyAlignment="1">
      <alignment horizontal="center" vertical="center"/>
    </xf>
    <xf numFmtId="56" fontId="8" fillId="11" borderId="4" xfId="0" applyNumberFormat="1" applyFont="1" applyFill="1" applyBorder="1" applyAlignment="1">
      <alignment horizontal="center" vertical="center"/>
    </xf>
    <xf numFmtId="56" fontId="8" fillId="3" borderId="2" xfId="0" applyNumberFormat="1" applyFont="1" applyFill="1" applyBorder="1" applyAlignment="1">
      <alignment horizontal="center" vertical="center"/>
    </xf>
    <xf numFmtId="56" fontId="8" fillId="3" borderId="3" xfId="0" applyNumberFormat="1" applyFont="1" applyFill="1" applyBorder="1" applyAlignment="1">
      <alignment horizontal="center" vertical="center"/>
    </xf>
    <xf numFmtId="56" fontId="8" fillId="3" borderId="4" xfId="0" applyNumberFormat="1" applyFont="1" applyFill="1" applyBorder="1" applyAlignment="1">
      <alignment horizontal="center" vertical="center"/>
    </xf>
    <xf numFmtId="0" fontId="8" fillId="7" borderId="0" xfId="0" applyFon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shrinkToFit="1"/>
    </xf>
    <xf numFmtId="0" fontId="8" fillId="3" borderId="23" xfId="0" applyFont="1" applyFill="1" applyBorder="1" applyAlignment="1">
      <alignment horizontal="center" vertical="center" wrapText="1"/>
    </xf>
    <xf numFmtId="0" fontId="8" fillId="3" borderId="32" xfId="0" applyFont="1" applyFill="1" applyBorder="1" applyAlignment="1">
      <alignment horizontal="center" vertical="center" wrapText="1"/>
    </xf>
    <xf numFmtId="49" fontId="0" fillId="7" borderId="23" xfId="0" applyNumberFormat="1" applyFill="1" applyBorder="1" applyAlignment="1">
      <alignment horizontal="center" vertical="center" wrapText="1"/>
    </xf>
    <xf numFmtId="49" fontId="0" fillId="7" borderId="43" xfId="0" applyNumberFormat="1" applyFill="1" applyBorder="1" applyAlignment="1">
      <alignment horizontal="center" vertical="center" wrapText="1"/>
    </xf>
    <xf numFmtId="49" fontId="0" fillId="7" borderId="32"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7" borderId="1" xfId="0" applyFill="1" applyBorder="1" applyAlignment="1">
      <alignment horizontal="center" vertical="center"/>
    </xf>
    <xf numFmtId="0" fontId="8" fillId="7" borderId="23"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7" borderId="23" xfId="0" applyFont="1" applyFill="1" applyBorder="1" applyAlignment="1">
      <alignment horizontal="center" vertical="center"/>
    </xf>
    <xf numFmtId="49" fontId="8" fillId="7" borderId="2" xfId="0" applyNumberFormat="1" applyFont="1" applyFill="1" applyBorder="1" applyAlignment="1">
      <alignment horizontal="center" vertical="center"/>
    </xf>
    <xf numFmtId="49" fontId="8" fillId="7" borderId="3" xfId="0" applyNumberFormat="1" applyFont="1" applyFill="1" applyBorder="1" applyAlignment="1">
      <alignment horizontal="center" vertical="center"/>
    </xf>
    <xf numFmtId="49" fontId="8" fillId="7" borderId="4" xfId="0" applyNumberFormat="1" applyFont="1" applyFill="1" applyBorder="1" applyAlignment="1">
      <alignment horizontal="center" vertical="center"/>
    </xf>
    <xf numFmtId="0" fontId="8" fillId="3" borderId="23"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49" fontId="0" fillId="7" borderId="23" xfId="0" applyNumberFormat="1" applyFill="1" applyBorder="1" applyAlignment="1">
      <alignment horizontal="center" vertical="center"/>
    </xf>
    <xf numFmtId="49" fontId="0" fillId="7" borderId="43" xfId="0" applyNumberFormat="1" applyFill="1" applyBorder="1" applyAlignment="1">
      <alignment horizontal="center" vertical="center"/>
    </xf>
    <xf numFmtId="49" fontId="0" fillId="7" borderId="32" xfId="0" applyNumberFormat="1" applyFill="1" applyBorder="1" applyAlignment="1">
      <alignment horizontal="center" vertical="center"/>
    </xf>
    <xf numFmtId="49" fontId="0" fillId="7" borderId="2" xfId="0" applyNumberFormat="1" applyFill="1" applyBorder="1" applyAlignment="1">
      <alignment horizontal="center" vertical="center"/>
    </xf>
    <xf numFmtId="49" fontId="0" fillId="7" borderId="3" xfId="0" applyNumberFormat="1" applyFill="1" applyBorder="1" applyAlignment="1">
      <alignment horizontal="center" vertical="center"/>
    </xf>
    <xf numFmtId="49" fontId="0" fillId="7" borderId="4" xfId="0" applyNumberFormat="1" applyFill="1" applyBorder="1" applyAlignment="1">
      <alignment horizontal="center" vertical="center"/>
    </xf>
    <xf numFmtId="49" fontId="3" fillId="3" borderId="1" xfId="0" applyNumberFormat="1" applyFont="1" applyFill="1" applyBorder="1" applyAlignment="1">
      <alignment horizontal="center" vertical="center"/>
    </xf>
    <xf numFmtId="49" fontId="8" fillId="3" borderId="56" xfId="0" applyNumberFormat="1" applyFont="1" applyFill="1" applyBorder="1" applyAlignment="1">
      <alignment horizontal="center" vertical="center"/>
    </xf>
    <xf numFmtId="49" fontId="8" fillId="3" borderId="45"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49" fontId="8" fillId="3" borderId="32" xfId="0" applyNumberFormat="1" applyFont="1" applyFill="1" applyBorder="1" applyAlignment="1">
      <alignment horizontal="center" vertical="center"/>
    </xf>
  </cellXfs>
  <cellStyles count="3">
    <cellStyle name="ハイパーリンク" xfId="2" builtinId="8"/>
    <cellStyle name="標準" xfId="0" builtinId="0"/>
    <cellStyle name="標準 2" xfId="1" xr:uid="{A038BE7D-8D2A-457A-992E-721F9F8708AD}"/>
  </cellStyles>
  <dxfs count="71">
    <dxf>
      <font>
        <color theme="0"/>
      </font>
    </dxf>
    <dxf>
      <font>
        <color theme="0"/>
      </font>
    </dxf>
    <dxf>
      <font>
        <color theme="0"/>
      </font>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colors>
    <mruColors>
      <color rgb="FFCCFFCC"/>
      <color rgb="FFCC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69850</xdr:colOff>
      <xdr:row>6</xdr:row>
      <xdr:rowOff>132521</xdr:rowOff>
    </xdr:from>
    <xdr:to>
      <xdr:col>15</xdr:col>
      <xdr:colOff>304800</xdr:colOff>
      <xdr:row>7</xdr:row>
      <xdr:rowOff>1292087</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69850" y="2186608"/>
          <a:ext cx="6695385" cy="1366631"/>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latin typeface="ＭＳ Ｐゴシック" panose="020B0600070205080204" pitchFamily="50" charset="-128"/>
              <a:ea typeface="ＭＳ Ｐゴシック" panose="020B0600070205080204" pitchFamily="50" charset="-128"/>
            </a:rPr>
            <a:t>◆水色に色付けされたセルにご記入をお願いします。</a:t>
          </a:r>
          <a:br>
            <a:rPr kumimoji="1" lang="en-US" altLang="ja-JP" sz="1100">
              <a:latin typeface="ＭＳ Ｐゴシック" panose="020B0600070205080204" pitchFamily="50" charset="-128"/>
              <a:ea typeface="ＭＳ Ｐゴシック" panose="020B0600070205080204" pitchFamily="50" charset="-128"/>
            </a:rPr>
          </a:b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　（入力が不要なセルには、自動的に黒く色付けされます。）</a:t>
          </a:r>
          <a:endParaRPr kumimoji="1" lang="en-US" altLang="ja-JP" sz="1100" u="sng">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◆当てはまる選択肢に✓を入れるか、該当する内容をご記入ください。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◆特に期日等の指定のない質問については、記入日時点の状況をご回答ください。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◆調査表は、やまぐちナースネットからダウンロードできます。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URL</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https://www.pref.yamaguchi-nurse-net.jp/news</a:t>
          </a:r>
        </a:p>
      </xdr:txBody>
    </xdr:sp>
    <xdr:clientData/>
  </xdr:twoCellAnchor>
  <xdr:twoCellAnchor>
    <xdr:from>
      <xdr:col>7</xdr:col>
      <xdr:colOff>123825</xdr:colOff>
      <xdr:row>239</xdr:row>
      <xdr:rowOff>114300</xdr:rowOff>
    </xdr:from>
    <xdr:to>
      <xdr:col>7</xdr:col>
      <xdr:colOff>333375</xdr:colOff>
      <xdr:row>241</xdr:row>
      <xdr:rowOff>161925</xdr:rowOff>
    </xdr:to>
    <xdr:sp macro="" textlink="">
      <xdr:nvSpPr>
        <xdr:cNvPr id="4" name="右中かっこ 3">
          <a:extLst>
            <a:ext uri="{FF2B5EF4-FFF2-40B4-BE49-F238E27FC236}">
              <a16:creationId xmlns:a16="http://schemas.microsoft.com/office/drawing/2014/main" id="{3C359A5D-1108-45E6-AC69-A67BCCFA6963}"/>
            </a:ext>
          </a:extLst>
        </xdr:cNvPr>
        <xdr:cNvSpPr/>
      </xdr:nvSpPr>
      <xdr:spPr>
        <a:xfrm>
          <a:off x="3124200" y="71656575"/>
          <a:ext cx="209550" cy="5429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0</xdr:row>
      <xdr:rowOff>82550</xdr:rowOff>
    </xdr:from>
    <xdr:to>
      <xdr:col>15</xdr:col>
      <xdr:colOff>120650</xdr:colOff>
      <xdr:row>0</xdr:row>
      <xdr:rowOff>495300</xdr:rowOff>
    </xdr:to>
    <xdr:sp macro="" textlink="">
      <xdr:nvSpPr>
        <xdr:cNvPr id="2" name="四角形: 角を丸くする 1">
          <a:extLst>
            <a:ext uri="{FF2B5EF4-FFF2-40B4-BE49-F238E27FC236}">
              <a16:creationId xmlns:a16="http://schemas.microsoft.com/office/drawing/2014/main" id="{49BDE987-69DB-4C8A-AFC9-D1945F8C420A}"/>
            </a:ext>
          </a:extLst>
        </xdr:cNvPr>
        <xdr:cNvSpPr/>
      </xdr:nvSpPr>
      <xdr:spPr>
        <a:xfrm>
          <a:off x="139700" y="82550"/>
          <a:ext cx="4914900" cy="41275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Ｐゴシック" panose="020B0600070205080204" pitchFamily="50" charset="-128"/>
              <a:ea typeface="ＭＳ Ｐゴシック" panose="020B0600070205080204" pitchFamily="50" charset="-128"/>
            </a:rPr>
            <a:t>集計作業用のシートです。入力しないようお願いします。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82550</xdr:rowOff>
    </xdr:from>
    <xdr:to>
      <xdr:col>10</xdr:col>
      <xdr:colOff>654050</xdr:colOff>
      <xdr:row>0</xdr:row>
      <xdr:rowOff>495300</xdr:rowOff>
    </xdr:to>
    <xdr:sp macro="" textlink="">
      <xdr:nvSpPr>
        <xdr:cNvPr id="4" name="四角形: 角を丸くする 3">
          <a:extLst>
            <a:ext uri="{FF2B5EF4-FFF2-40B4-BE49-F238E27FC236}">
              <a16:creationId xmlns:a16="http://schemas.microsoft.com/office/drawing/2014/main" id="{E99932D0-38B9-4A24-A18E-157549F104E1}"/>
            </a:ext>
          </a:extLst>
        </xdr:cNvPr>
        <xdr:cNvSpPr/>
      </xdr:nvSpPr>
      <xdr:spPr>
        <a:xfrm>
          <a:off x="228600" y="82550"/>
          <a:ext cx="4787900" cy="412750"/>
        </a:xfrm>
        <a:prstGeom prst="roundRect">
          <a:avLst/>
        </a:prstGeom>
        <a:solidFill>
          <a:srgbClr val="FF0000"/>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n-cs"/>
            </a:rPr>
            <a:t>集計作業用のシートです。入力しないようお願いします。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11700@pref.yamaguchi.lg.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1EA1F-D57B-4500-A2C9-BD6A5B69BBFC}">
  <sheetPr>
    <tabColor rgb="FFFF0000"/>
    <pageSetUpPr fitToPage="1"/>
  </sheetPr>
  <dimension ref="A1:AM252"/>
  <sheetViews>
    <sheetView tabSelected="1" view="pageBreakPreview" zoomScale="115" zoomScaleNormal="100" zoomScaleSheetLayoutView="115" workbookViewId="0">
      <selection activeCell="M9" sqref="M9:P9"/>
    </sheetView>
  </sheetViews>
  <sheetFormatPr defaultRowHeight="18"/>
  <cols>
    <col min="1" max="16" width="5.58203125" customWidth="1"/>
    <col min="23" max="24" width="29" customWidth="1"/>
    <col min="25" max="25" width="30" customWidth="1"/>
  </cols>
  <sheetData>
    <row r="1" spans="1:17" ht="36.75" customHeight="1">
      <c r="A1" s="403" t="s">
        <v>303</v>
      </c>
      <c r="B1" s="403"/>
      <c r="C1" s="403"/>
      <c r="D1" s="403"/>
      <c r="E1" s="403"/>
      <c r="F1" s="403"/>
      <c r="G1" s="403"/>
      <c r="H1" s="403"/>
      <c r="I1" s="403"/>
      <c r="J1" s="403"/>
      <c r="K1" s="403"/>
      <c r="L1" s="403"/>
      <c r="M1" s="403"/>
      <c r="N1" s="403"/>
      <c r="O1" s="403"/>
      <c r="P1" s="403"/>
    </row>
    <row r="2" spans="1:17" ht="33.75" customHeight="1" thickBot="1">
      <c r="A2" s="567" t="s">
        <v>121</v>
      </c>
      <c r="B2" s="567"/>
      <c r="C2" s="567"/>
      <c r="D2" s="567"/>
      <c r="E2" s="567"/>
      <c r="F2" s="567"/>
      <c r="G2" s="567"/>
      <c r="H2" s="567"/>
      <c r="I2" s="567"/>
      <c r="J2" s="567"/>
      <c r="K2" s="567"/>
      <c r="L2" s="567"/>
      <c r="M2" s="567"/>
      <c r="N2" s="567"/>
      <c r="O2" s="567"/>
      <c r="P2" s="567"/>
    </row>
    <row r="3" spans="1:17" s="63" customFormat="1" ht="22.5" customHeight="1">
      <c r="A3" s="526" t="s">
        <v>115</v>
      </c>
      <c r="B3" s="527"/>
      <c r="C3" s="527"/>
      <c r="D3" s="527"/>
      <c r="E3" s="527" t="s">
        <v>117</v>
      </c>
      <c r="F3" s="527"/>
      <c r="G3" s="527"/>
      <c r="H3" s="527"/>
      <c r="I3" s="527"/>
      <c r="J3" s="527"/>
      <c r="K3" s="527"/>
      <c r="L3" s="527"/>
      <c r="M3" s="527"/>
      <c r="N3" s="527"/>
      <c r="O3" s="527"/>
      <c r="P3" s="530"/>
      <c r="Q3" s="64"/>
    </row>
    <row r="4" spans="1:17" s="63" customFormat="1" ht="22.5" customHeight="1">
      <c r="A4" s="528" t="s">
        <v>116</v>
      </c>
      <c r="B4" s="529"/>
      <c r="C4" s="529"/>
      <c r="D4" s="529"/>
      <c r="E4" s="531" t="s">
        <v>119</v>
      </c>
      <c r="F4" s="532"/>
      <c r="G4" s="532"/>
      <c r="H4" s="532"/>
      <c r="I4" s="532"/>
      <c r="J4" s="532"/>
      <c r="K4" s="532"/>
      <c r="L4" s="532"/>
      <c r="M4" s="532"/>
      <c r="N4" s="532"/>
      <c r="O4" s="532"/>
      <c r="P4" s="533"/>
      <c r="Q4" s="65"/>
    </row>
    <row r="5" spans="1:17" s="63" customFormat="1" ht="22.5" customHeight="1">
      <c r="A5" s="528" t="s">
        <v>212</v>
      </c>
      <c r="B5" s="529"/>
      <c r="C5" s="529"/>
      <c r="D5" s="529"/>
      <c r="E5" s="570" t="s">
        <v>237</v>
      </c>
      <c r="F5" s="570"/>
      <c r="G5" s="570"/>
      <c r="H5" s="570"/>
      <c r="I5" s="570"/>
      <c r="J5" s="570"/>
      <c r="K5" s="570"/>
      <c r="L5" s="570"/>
      <c r="M5" s="570"/>
      <c r="N5" s="570"/>
      <c r="O5" s="570"/>
      <c r="P5" s="571"/>
      <c r="Q5" s="65"/>
    </row>
    <row r="6" spans="1:17" s="63" customFormat="1" ht="22.5" customHeight="1" thickBot="1">
      <c r="A6" s="572" t="s">
        <v>118</v>
      </c>
      <c r="B6" s="573"/>
      <c r="C6" s="573"/>
      <c r="D6" s="573"/>
      <c r="E6" s="574">
        <v>45918</v>
      </c>
      <c r="F6" s="575"/>
      <c r="G6" s="575"/>
      <c r="H6" s="575"/>
      <c r="I6" s="575"/>
      <c r="J6" s="575"/>
      <c r="K6" s="575"/>
      <c r="L6" s="575"/>
      <c r="M6" s="575"/>
      <c r="N6" s="575"/>
      <c r="O6" s="575"/>
      <c r="P6" s="576"/>
    </row>
    <row r="7" spans="1:17" s="63" customFormat="1" ht="17.149999999999999" customHeight="1">
      <c r="A7" s="31"/>
      <c r="B7" s="31"/>
      <c r="C7" s="31"/>
      <c r="D7" s="31"/>
      <c r="E7" s="31"/>
      <c r="F7" s="31"/>
      <c r="G7" s="31"/>
      <c r="H7" s="31"/>
      <c r="I7" s="31"/>
      <c r="J7" s="31"/>
      <c r="K7" s="31"/>
      <c r="L7" s="31"/>
      <c r="M7" s="31"/>
      <c r="N7" s="31"/>
      <c r="O7" s="31"/>
      <c r="P7" s="31"/>
    </row>
    <row r="8" spans="1:17" ht="116.25" customHeight="1" thickBot="1">
      <c r="A8" s="18"/>
      <c r="B8" s="18"/>
      <c r="C8" s="18"/>
      <c r="D8" s="18"/>
      <c r="E8" s="18"/>
      <c r="F8" s="18"/>
      <c r="G8" s="18"/>
      <c r="H8" s="18"/>
      <c r="I8" s="18"/>
      <c r="J8" s="18"/>
      <c r="K8" s="18"/>
      <c r="L8" s="18"/>
      <c r="M8" s="18"/>
      <c r="N8" s="18"/>
      <c r="O8" s="18"/>
      <c r="P8" s="18"/>
    </row>
    <row r="9" spans="1:17" ht="26.15" customHeight="1" thickBot="1">
      <c r="A9" s="25"/>
      <c r="B9" s="25"/>
      <c r="C9" s="25"/>
      <c r="D9" s="25"/>
      <c r="E9" s="25"/>
      <c r="F9" s="25"/>
      <c r="G9" s="25"/>
      <c r="J9" s="106"/>
      <c r="K9" s="534" t="s">
        <v>29</v>
      </c>
      <c r="L9" s="535"/>
      <c r="M9" s="568" t="s">
        <v>564</v>
      </c>
      <c r="N9" s="568"/>
      <c r="O9" s="568"/>
      <c r="P9" s="569"/>
    </row>
    <row r="10" spans="1:17" ht="13.5" customHeight="1">
      <c r="A10" s="25"/>
      <c r="B10" s="25"/>
      <c r="C10" s="25"/>
      <c r="D10" s="25"/>
      <c r="E10" s="25"/>
      <c r="F10" s="25"/>
      <c r="G10" s="25"/>
      <c r="H10" s="24"/>
      <c r="I10" s="24"/>
      <c r="J10" s="24"/>
      <c r="K10" s="24"/>
      <c r="L10" s="24"/>
      <c r="M10" s="24"/>
      <c r="N10" s="24"/>
      <c r="O10" s="24"/>
      <c r="P10" s="24"/>
    </row>
    <row r="11" spans="1:17" ht="25.5" customHeight="1">
      <c r="A11" s="4" t="s">
        <v>120</v>
      </c>
      <c r="B11" s="4"/>
      <c r="C11" s="4"/>
      <c r="D11" s="4"/>
      <c r="E11" s="4"/>
      <c r="F11" s="4"/>
      <c r="G11" s="4"/>
      <c r="H11" s="4"/>
      <c r="I11" s="4"/>
      <c r="J11" s="4"/>
      <c r="K11" s="4"/>
      <c r="L11" s="4"/>
      <c r="M11" s="4"/>
      <c r="N11" s="4"/>
      <c r="O11" s="4"/>
      <c r="P11" s="4"/>
    </row>
    <row r="12" spans="1:17" ht="30" customHeight="1" thickBot="1">
      <c r="A12" s="5" t="s">
        <v>537</v>
      </c>
      <c r="B12" s="5"/>
      <c r="C12" s="5"/>
      <c r="D12" s="5"/>
      <c r="E12" s="5"/>
      <c r="F12" s="5"/>
      <c r="G12" s="5"/>
      <c r="H12" s="5"/>
      <c r="I12" s="5"/>
      <c r="J12" s="5"/>
      <c r="K12" s="5"/>
      <c r="L12" s="3"/>
      <c r="M12" s="3"/>
      <c r="N12" s="3"/>
      <c r="O12" s="3"/>
      <c r="P12" s="3"/>
    </row>
    <row r="13" spans="1:17" ht="20.25" customHeight="1">
      <c r="A13" s="544" t="s">
        <v>538</v>
      </c>
      <c r="B13" s="545"/>
      <c r="C13" s="545"/>
      <c r="D13" s="545"/>
      <c r="E13" s="546"/>
      <c r="F13" s="547"/>
      <c r="G13" s="547"/>
      <c r="H13" s="547"/>
      <c r="I13" s="547"/>
      <c r="J13" s="547"/>
      <c r="K13" s="548"/>
      <c r="L13" s="548"/>
      <c r="M13" s="548"/>
      <c r="N13" s="548"/>
      <c r="O13" s="548"/>
      <c r="P13" s="549"/>
    </row>
    <row r="14" spans="1:17" ht="20.25" customHeight="1">
      <c r="A14" s="540" t="s">
        <v>231</v>
      </c>
      <c r="B14" s="541"/>
      <c r="C14" s="541"/>
      <c r="D14" s="550"/>
      <c r="E14" s="490"/>
      <c r="F14" s="551"/>
      <c r="G14" s="551"/>
      <c r="H14" s="551"/>
      <c r="I14" s="551"/>
      <c r="J14" s="491"/>
      <c r="K14" s="550" t="s">
        <v>1</v>
      </c>
      <c r="L14" s="542"/>
      <c r="M14" s="490"/>
      <c r="N14" s="551"/>
      <c r="O14" s="551"/>
      <c r="P14" s="552"/>
    </row>
    <row r="15" spans="1:17" ht="20.25" customHeight="1" thickBot="1">
      <c r="A15" s="559" t="s">
        <v>2</v>
      </c>
      <c r="B15" s="560"/>
      <c r="C15" s="560"/>
      <c r="D15" s="561"/>
      <c r="E15" s="536"/>
      <c r="F15" s="536"/>
      <c r="G15" s="536"/>
      <c r="H15" s="536"/>
      <c r="I15" s="536"/>
      <c r="J15" s="536"/>
      <c r="K15" s="493" t="s">
        <v>3</v>
      </c>
      <c r="L15" s="493"/>
      <c r="M15" s="536"/>
      <c r="N15" s="536"/>
      <c r="O15" s="536"/>
      <c r="P15" s="537"/>
    </row>
    <row r="16" spans="1:17" ht="16.5" customHeight="1">
      <c r="A16" s="101" t="s">
        <v>276</v>
      </c>
      <c r="B16" s="26"/>
      <c r="C16" s="26"/>
      <c r="D16" s="26"/>
      <c r="E16" s="26"/>
      <c r="F16" s="26"/>
      <c r="G16" s="26"/>
      <c r="H16" s="26"/>
      <c r="I16" s="26"/>
      <c r="J16" s="26"/>
      <c r="K16" s="26"/>
      <c r="L16" s="26"/>
      <c r="M16" s="26"/>
      <c r="N16" s="26"/>
      <c r="O16" s="26"/>
      <c r="P16" s="26"/>
    </row>
    <row r="17" spans="1:16" s="172" customFormat="1" ht="7.5" customHeight="1">
      <c r="A17" s="101"/>
      <c r="B17" s="26"/>
      <c r="C17" s="26"/>
      <c r="D17" s="26"/>
      <c r="E17" s="26"/>
      <c r="F17" s="26"/>
      <c r="G17" s="26"/>
      <c r="H17" s="26"/>
      <c r="I17" s="26"/>
      <c r="J17" s="26"/>
      <c r="K17" s="26"/>
      <c r="L17" s="26"/>
      <c r="M17" s="26"/>
      <c r="N17" s="26"/>
      <c r="O17" s="26"/>
      <c r="P17" s="26"/>
    </row>
    <row r="18" spans="1:16" ht="24.75" customHeight="1">
      <c r="A18" s="4" t="s">
        <v>488</v>
      </c>
      <c r="B18" s="4"/>
      <c r="C18" s="4"/>
      <c r="D18" s="4"/>
      <c r="E18" s="4"/>
      <c r="F18" s="4"/>
      <c r="G18" s="4"/>
      <c r="H18" s="4"/>
      <c r="I18" s="4"/>
      <c r="J18" s="4"/>
      <c r="K18" s="4"/>
      <c r="L18" s="4"/>
      <c r="M18" s="4"/>
      <c r="N18" s="4"/>
      <c r="O18" s="4"/>
      <c r="P18" s="4"/>
    </row>
    <row r="19" spans="1:16" ht="25.5" customHeight="1" thickBot="1">
      <c r="A19" s="558" t="s">
        <v>304</v>
      </c>
      <c r="B19" s="558"/>
      <c r="C19" s="558"/>
      <c r="D19" s="558"/>
      <c r="E19" s="558"/>
      <c r="F19" s="558"/>
      <c r="G19" s="558"/>
      <c r="H19" s="558"/>
      <c r="I19" s="558"/>
      <c r="J19" s="558"/>
      <c r="K19" s="558"/>
      <c r="L19" s="558"/>
      <c r="M19" s="558"/>
      <c r="N19" s="558"/>
      <c r="O19" s="558"/>
      <c r="P19" s="558"/>
    </row>
    <row r="20" spans="1:16" ht="20.149999999999999" customHeight="1">
      <c r="A20" s="538"/>
      <c r="B20" s="539"/>
      <c r="C20" s="539"/>
      <c r="D20" s="539"/>
      <c r="E20" s="582" t="s">
        <v>20</v>
      </c>
      <c r="F20" s="583"/>
      <c r="G20" s="583"/>
      <c r="H20" s="583"/>
      <c r="I20" s="584" t="s">
        <v>21</v>
      </c>
      <c r="J20" s="584"/>
      <c r="K20" s="584"/>
      <c r="L20" s="585"/>
      <c r="M20" s="556" t="s">
        <v>30</v>
      </c>
      <c r="N20" s="405"/>
      <c r="O20" s="405"/>
      <c r="P20" s="557"/>
    </row>
    <row r="21" spans="1:16" ht="20.149999999999999" customHeight="1">
      <c r="A21" s="540"/>
      <c r="B21" s="541"/>
      <c r="C21" s="541"/>
      <c r="D21" s="541"/>
      <c r="E21" s="542" t="s">
        <v>9</v>
      </c>
      <c r="F21" s="541"/>
      <c r="G21" s="541" t="s">
        <v>22</v>
      </c>
      <c r="H21" s="541"/>
      <c r="I21" s="543" t="s">
        <v>9</v>
      </c>
      <c r="J21" s="543"/>
      <c r="K21" s="543" t="s">
        <v>22</v>
      </c>
      <c r="L21" s="553"/>
      <c r="M21" s="554" t="s">
        <v>9</v>
      </c>
      <c r="N21" s="543"/>
      <c r="O21" s="543" t="s">
        <v>31</v>
      </c>
      <c r="P21" s="555"/>
    </row>
    <row r="22" spans="1:16" ht="20.149999999999999" customHeight="1">
      <c r="A22" s="566" t="s">
        <v>32</v>
      </c>
      <c r="B22" s="452" t="s">
        <v>4</v>
      </c>
      <c r="C22" s="450"/>
      <c r="D22" s="451"/>
      <c r="E22" s="580"/>
      <c r="F22" s="512"/>
      <c r="G22" s="512"/>
      <c r="H22" s="512"/>
      <c r="I22" s="511"/>
      <c r="J22" s="511"/>
      <c r="K22" s="511"/>
      <c r="L22" s="581"/>
      <c r="M22" s="577">
        <f>E22+I22</f>
        <v>0</v>
      </c>
      <c r="N22" s="578"/>
      <c r="O22" s="519">
        <f>G22+K22</f>
        <v>0</v>
      </c>
      <c r="P22" s="520"/>
    </row>
    <row r="23" spans="1:16" ht="20.149999999999999" customHeight="1">
      <c r="A23" s="566"/>
      <c r="B23" s="550" t="s">
        <v>5</v>
      </c>
      <c r="C23" s="562"/>
      <c r="D23" s="542"/>
      <c r="E23" s="491"/>
      <c r="F23" s="511"/>
      <c r="G23" s="490"/>
      <c r="H23" s="491"/>
      <c r="I23" s="511"/>
      <c r="J23" s="511"/>
      <c r="K23" s="512"/>
      <c r="L23" s="513"/>
      <c r="M23" s="579">
        <f>E23+I23</f>
        <v>0</v>
      </c>
      <c r="N23" s="577"/>
      <c r="O23" s="519">
        <f>G23+K23</f>
        <v>0</v>
      </c>
      <c r="P23" s="520"/>
    </row>
    <row r="24" spans="1:16" ht="20.149999999999999" customHeight="1">
      <c r="A24" s="566"/>
      <c r="B24" s="550" t="s">
        <v>6</v>
      </c>
      <c r="C24" s="562"/>
      <c r="D24" s="542"/>
      <c r="E24" s="491"/>
      <c r="F24" s="511"/>
      <c r="G24" s="490"/>
      <c r="H24" s="491"/>
      <c r="I24" s="511"/>
      <c r="J24" s="511"/>
      <c r="K24" s="512"/>
      <c r="L24" s="513"/>
      <c r="M24" s="579">
        <f>E24+I24</f>
        <v>0</v>
      </c>
      <c r="N24" s="577"/>
      <c r="O24" s="519">
        <f>G24+K24</f>
        <v>0</v>
      </c>
      <c r="P24" s="520"/>
    </row>
    <row r="25" spans="1:16" ht="20.149999999999999" customHeight="1" thickBot="1">
      <c r="A25" s="566"/>
      <c r="B25" s="563" t="s">
        <v>7</v>
      </c>
      <c r="C25" s="564"/>
      <c r="D25" s="565"/>
      <c r="E25" s="488"/>
      <c r="F25" s="489"/>
      <c r="G25" s="490"/>
      <c r="H25" s="491"/>
      <c r="I25" s="489"/>
      <c r="J25" s="489"/>
      <c r="K25" s="514"/>
      <c r="L25" s="515"/>
      <c r="M25" s="516">
        <f>E25+I25</f>
        <v>0</v>
      </c>
      <c r="N25" s="517"/>
      <c r="O25" s="521">
        <f>G25+K25</f>
        <v>0</v>
      </c>
      <c r="P25" s="522"/>
    </row>
    <row r="26" spans="1:16" ht="20.149999999999999" customHeight="1" thickTop="1">
      <c r="A26" s="566"/>
      <c r="B26" s="503" t="s">
        <v>30</v>
      </c>
      <c r="C26" s="504"/>
      <c r="D26" s="505"/>
      <c r="E26" s="499">
        <f t="shared" ref="E26" si="0">SUM(E22:E25)</f>
        <v>0</v>
      </c>
      <c r="F26" s="500"/>
      <c r="G26" s="501">
        <f t="shared" ref="G26" si="1">SUM(G22:G25)</f>
        <v>0</v>
      </c>
      <c r="H26" s="501"/>
      <c r="I26" s="499">
        <f t="shared" ref="I26" si="2">SUM(I22:I25)</f>
        <v>0</v>
      </c>
      <c r="J26" s="500"/>
      <c r="K26" s="501">
        <f>SUM(K22:K25)</f>
        <v>0</v>
      </c>
      <c r="L26" s="502"/>
      <c r="M26" s="506">
        <f>SUM(M22:M25)</f>
        <v>0</v>
      </c>
      <c r="N26" s="507"/>
      <c r="O26" s="524">
        <f>SUM(O22:O25)</f>
        <v>0</v>
      </c>
      <c r="P26" s="525"/>
    </row>
    <row r="27" spans="1:16" ht="20.149999999999999" customHeight="1" thickBot="1">
      <c r="A27" s="492" t="s">
        <v>8</v>
      </c>
      <c r="B27" s="493"/>
      <c r="C27" s="493"/>
      <c r="D27" s="494"/>
      <c r="E27" s="495"/>
      <c r="F27" s="496"/>
      <c r="G27" s="497"/>
      <c r="H27" s="497"/>
      <c r="I27" s="495"/>
      <c r="J27" s="496"/>
      <c r="K27" s="497"/>
      <c r="L27" s="498"/>
      <c r="M27" s="509">
        <f>E27+I27</f>
        <v>0</v>
      </c>
      <c r="N27" s="518"/>
      <c r="O27" s="523">
        <f>G27+K27</f>
        <v>0</v>
      </c>
      <c r="P27" s="510"/>
    </row>
    <row r="28" spans="1:16" ht="16.5" customHeight="1">
      <c r="A28" s="3" t="s">
        <v>10</v>
      </c>
      <c r="B28" s="3"/>
      <c r="C28" s="3"/>
      <c r="D28" s="3"/>
      <c r="E28" s="3"/>
      <c r="F28" s="3"/>
      <c r="G28" s="3"/>
      <c r="H28" s="3"/>
      <c r="I28" s="3"/>
      <c r="J28" s="3"/>
      <c r="K28" s="3"/>
      <c r="L28" s="22"/>
      <c r="M28" s="22"/>
      <c r="N28" s="22"/>
      <c r="O28" s="6"/>
      <c r="P28" s="6"/>
    </row>
    <row r="29" spans="1:16" ht="16.5" customHeight="1">
      <c r="A29" s="3" t="s">
        <v>11</v>
      </c>
      <c r="B29" s="3"/>
      <c r="C29" s="3"/>
      <c r="D29" s="3"/>
      <c r="E29" s="3"/>
      <c r="F29" s="3"/>
      <c r="G29" s="3"/>
      <c r="H29" s="3"/>
      <c r="I29" s="3"/>
      <c r="J29" s="3"/>
      <c r="K29" s="3"/>
      <c r="L29" s="3"/>
      <c r="M29" s="3"/>
      <c r="N29" s="3"/>
      <c r="O29" s="6"/>
      <c r="P29" s="6"/>
    </row>
    <row r="30" spans="1:16" ht="29.5" customHeight="1">
      <c r="A30" s="485" t="s">
        <v>252</v>
      </c>
      <c r="B30" s="485"/>
      <c r="C30" s="485"/>
      <c r="D30" s="485"/>
      <c r="E30" s="485"/>
      <c r="F30" s="485"/>
      <c r="G30" s="485"/>
      <c r="H30" s="485"/>
      <c r="I30" s="485"/>
      <c r="J30" s="485"/>
      <c r="K30" s="485"/>
      <c r="L30" s="485"/>
      <c r="M30" s="485"/>
      <c r="N30" s="485"/>
      <c r="O30" s="485"/>
      <c r="P30" s="485"/>
    </row>
    <row r="31" spans="1:16" ht="9.65" customHeight="1">
      <c r="A31" s="3"/>
      <c r="B31" s="3"/>
      <c r="C31" s="3"/>
      <c r="D31" s="3"/>
      <c r="E31" s="3"/>
      <c r="F31" s="3"/>
      <c r="G31" s="3"/>
      <c r="H31" s="3"/>
      <c r="I31" s="3"/>
      <c r="J31" s="3"/>
      <c r="K31" s="3"/>
      <c r="L31" s="3"/>
      <c r="M31" s="3"/>
      <c r="N31" s="3"/>
      <c r="O31" s="3"/>
      <c r="P31" s="3"/>
    </row>
    <row r="32" spans="1:16" ht="30" customHeight="1" thickBot="1">
      <c r="A32" s="365" t="s">
        <v>305</v>
      </c>
      <c r="B32" s="365"/>
      <c r="C32" s="365"/>
      <c r="D32" s="365"/>
      <c r="E32" s="365"/>
      <c r="F32" s="365"/>
      <c r="G32" s="365"/>
      <c r="H32" s="365"/>
      <c r="I32" s="365"/>
      <c r="J32" s="365"/>
      <c r="K32" s="365"/>
      <c r="L32" s="365"/>
      <c r="M32" s="365"/>
      <c r="N32" s="365"/>
      <c r="O32" s="365"/>
      <c r="P32" s="365"/>
    </row>
    <row r="33" spans="1:17" ht="20.149999999999999" customHeight="1">
      <c r="A33" s="484" t="s">
        <v>238</v>
      </c>
      <c r="B33" s="476"/>
      <c r="C33" s="476" t="s">
        <v>239</v>
      </c>
      <c r="D33" s="476"/>
      <c r="E33" s="476" t="s">
        <v>240</v>
      </c>
      <c r="F33" s="476"/>
      <c r="G33" s="476" t="s">
        <v>241</v>
      </c>
      <c r="H33" s="476"/>
      <c r="I33" s="476" t="s">
        <v>242</v>
      </c>
      <c r="J33" s="477"/>
      <c r="K33" s="474" t="s">
        <v>243</v>
      </c>
      <c r="L33" s="475"/>
    </row>
    <row r="34" spans="1:17" ht="20.149999999999999" customHeight="1" thickBot="1">
      <c r="A34" s="486"/>
      <c r="B34" s="487"/>
      <c r="C34" s="487"/>
      <c r="D34" s="487"/>
      <c r="E34" s="487"/>
      <c r="F34" s="487"/>
      <c r="G34" s="487"/>
      <c r="H34" s="487"/>
      <c r="I34" s="487"/>
      <c r="J34" s="508"/>
      <c r="K34" s="509">
        <f>SUM(A34:J34)</f>
        <v>0</v>
      </c>
      <c r="L34" s="510"/>
      <c r="M34" s="26"/>
      <c r="N34" s="26"/>
      <c r="O34" s="26"/>
      <c r="P34" s="26"/>
    </row>
    <row r="35" spans="1:17" ht="9.75" customHeight="1">
      <c r="A35" s="26"/>
      <c r="B35" s="26"/>
      <c r="C35" s="26"/>
      <c r="D35" s="26"/>
      <c r="E35" s="26"/>
      <c r="F35" s="26"/>
      <c r="G35" s="26"/>
      <c r="H35" s="26"/>
      <c r="I35" s="26"/>
      <c r="J35" s="26"/>
      <c r="K35" s="126"/>
      <c r="L35" s="126"/>
      <c r="M35" s="26"/>
      <c r="N35" s="26"/>
      <c r="O35" s="26"/>
      <c r="P35" s="26"/>
    </row>
    <row r="36" spans="1:17" s="172" customFormat="1" ht="25.5" customHeight="1" thickBot="1">
      <c r="A36" s="5" t="s">
        <v>560</v>
      </c>
      <c r="B36" s="5"/>
      <c r="C36" s="5"/>
      <c r="D36" s="5"/>
      <c r="E36" s="5"/>
      <c r="F36" s="5"/>
      <c r="G36" s="5"/>
      <c r="H36" s="5"/>
      <c r="I36" s="5"/>
      <c r="J36" s="5"/>
      <c r="K36" s="3"/>
      <c r="L36" s="5"/>
      <c r="M36" s="3"/>
      <c r="N36" s="3"/>
      <c r="O36" s="3"/>
      <c r="P36" s="3"/>
    </row>
    <row r="37" spans="1:17" s="172" customFormat="1" ht="20.25" customHeight="1" thickBot="1">
      <c r="A37" s="680"/>
      <c r="B37" s="681"/>
      <c r="C37" s="307" t="s">
        <v>561</v>
      </c>
      <c r="D37" s="308"/>
      <c r="E37" s="308"/>
      <c r="F37" s="309"/>
      <c r="H37" s="158"/>
      <c r="I37" s="170" t="str">
        <f>IF(A37="✓","→問３にお進みください","")</f>
        <v/>
      </c>
      <c r="J37" s="5"/>
      <c r="K37" s="3"/>
      <c r="L37" s="5"/>
      <c r="M37" s="3"/>
      <c r="N37" s="3"/>
      <c r="O37" s="3"/>
      <c r="P37" s="3"/>
    </row>
    <row r="38" spans="1:17" ht="16.5" customHeight="1">
      <c r="A38" s="3"/>
      <c r="B38" s="3"/>
      <c r="C38" s="3"/>
      <c r="D38" s="3"/>
      <c r="E38" s="3"/>
      <c r="F38" s="3"/>
      <c r="G38" s="3"/>
      <c r="H38" s="3"/>
      <c r="I38" s="3"/>
      <c r="J38" s="3"/>
      <c r="K38" s="3"/>
      <c r="L38" s="3"/>
      <c r="M38" s="3"/>
      <c r="N38" s="3"/>
      <c r="O38" s="3"/>
      <c r="P38" s="3"/>
    </row>
    <row r="39" spans="1:17" ht="30" customHeight="1" thickBot="1">
      <c r="A39" s="5" t="s">
        <v>558</v>
      </c>
      <c r="B39" s="5"/>
      <c r="C39" s="5"/>
      <c r="D39" s="5"/>
      <c r="E39" s="5"/>
      <c r="F39" s="5"/>
      <c r="G39" s="5"/>
      <c r="H39" s="5"/>
      <c r="I39" s="5"/>
      <c r="J39" s="5"/>
      <c r="K39" s="3"/>
      <c r="L39" s="5"/>
      <c r="M39" s="3"/>
      <c r="N39" s="3"/>
      <c r="O39" s="3"/>
      <c r="P39" s="3"/>
    </row>
    <row r="40" spans="1:17" s="172" customFormat="1" ht="16.5" customHeight="1">
      <c r="A40" s="589" t="s">
        <v>307</v>
      </c>
      <c r="B40" s="590"/>
      <c r="C40" s="590"/>
      <c r="D40" s="591"/>
      <c r="E40" s="598"/>
      <c r="F40" s="599"/>
      <c r="G40" s="160" t="s">
        <v>4</v>
      </c>
      <c r="H40" s="160"/>
      <c r="I40" s="160" t="s">
        <v>5</v>
      </c>
      <c r="J40" s="160"/>
      <c r="K40" s="160" t="s">
        <v>306</v>
      </c>
      <c r="L40" s="160"/>
      <c r="M40" s="160" t="s">
        <v>7</v>
      </c>
      <c r="N40" s="161"/>
      <c r="O40" s="162" t="s">
        <v>30</v>
      </c>
      <c r="P40" s="163"/>
      <c r="Q40" s="132"/>
    </row>
    <row r="41" spans="1:17" s="172" customFormat="1" ht="22.5" customHeight="1">
      <c r="A41" s="592"/>
      <c r="B41" s="593"/>
      <c r="C41" s="593"/>
      <c r="D41" s="594"/>
      <c r="E41" s="478" t="s">
        <v>401</v>
      </c>
      <c r="F41" s="479"/>
      <c r="G41" s="480"/>
      <c r="H41" s="481"/>
      <c r="I41" s="480"/>
      <c r="J41" s="481"/>
      <c r="K41" s="480"/>
      <c r="L41" s="481"/>
      <c r="M41" s="480"/>
      <c r="N41" s="608"/>
      <c r="O41" s="610">
        <f>G41+I41+K41+M41</f>
        <v>0</v>
      </c>
      <c r="P41" s="611"/>
      <c r="Q41" s="132"/>
    </row>
    <row r="42" spans="1:17" s="172" customFormat="1" ht="22.5" customHeight="1" thickBot="1">
      <c r="A42" s="595"/>
      <c r="B42" s="596"/>
      <c r="C42" s="596"/>
      <c r="D42" s="597"/>
      <c r="E42" s="482" t="s">
        <v>400</v>
      </c>
      <c r="F42" s="483"/>
      <c r="G42" s="343"/>
      <c r="H42" s="341"/>
      <c r="I42" s="343"/>
      <c r="J42" s="341"/>
      <c r="K42" s="343"/>
      <c r="L42" s="341"/>
      <c r="M42" s="343"/>
      <c r="N42" s="609"/>
      <c r="O42" s="612">
        <f>SUM(G42:N42)</f>
        <v>0</v>
      </c>
      <c r="P42" s="613"/>
      <c r="Q42" s="132" t="str">
        <f>IF(M42=0,"←人数を記入してください","")</f>
        <v>←人数を記入してください</v>
      </c>
    </row>
    <row r="43" spans="1:17" s="172" customFormat="1" ht="12.75" customHeight="1">
      <c r="A43" s="155"/>
      <c r="B43" s="101"/>
      <c r="C43" s="101"/>
      <c r="D43" s="101"/>
      <c r="E43" s="101"/>
      <c r="F43" s="101"/>
      <c r="G43" s="156"/>
      <c r="H43" s="156"/>
      <c r="I43" s="156"/>
      <c r="J43" s="156"/>
      <c r="K43" s="156"/>
      <c r="L43" s="156"/>
      <c r="M43" s="156"/>
      <c r="N43" s="156"/>
      <c r="O43" s="26"/>
      <c r="P43" s="26"/>
      <c r="Q43" s="132"/>
    </row>
    <row r="44" spans="1:17" ht="30" customHeight="1">
      <c r="A44" s="4" t="s">
        <v>511</v>
      </c>
      <c r="B44" s="4"/>
      <c r="C44" s="4"/>
      <c r="D44" s="4"/>
      <c r="E44" s="4"/>
      <c r="F44" s="4"/>
      <c r="G44" s="4"/>
      <c r="H44" s="4"/>
      <c r="I44" s="4"/>
      <c r="J44" s="4"/>
      <c r="K44" s="4"/>
      <c r="L44" s="4"/>
      <c r="M44" s="4"/>
      <c r="N44" s="4"/>
      <c r="O44" s="4"/>
      <c r="P44" s="4"/>
    </row>
    <row r="45" spans="1:17" s="172" customFormat="1" ht="30" customHeight="1" thickBot="1">
      <c r="A45" s="5" t="s">
        <v>489</v>
      </c>
      <c r="B45" s="5"/>
      <c r="C45" s="5"/>
      <c r="D45" s="5"/>
      <c r="E45" s="5"/>
      <c r="F45" s="5"/>
      <c r="G45" s="5"/>
      <c r="H45" s="5"/>
      <c r="I45" s="5"/>
      <c r="J45" s="5"/>
      <c r="K45" s="3"/>
      <c r="L45" s="5"/>
      <c r="M45" s="3"/>
      <c r="N45" s="3"/>
      <c r="O45" s="3"/>
      <c r="P45" s="3"/>
    </row>
    <row r="46" spans="1:17" s="172" customFormat="1" ht="20.25" customHeight="1">
      <c r="A46" s="5"/>
      <c r="B46" s="634"/>
      <c r="C46" s="635"/>
      <c r="D46" s="636" t="s">
        <v>435</v>
      </c>
      <c r="E46" s="397"/>
      <c r="F46" s="397"/>
      <c r="G46" s="398"/>
      <c r="H46" s="158"/>
      <c r="I46" s="220" t="str">
        <f>IF(COUNTIF(B46:C48,"✓")=1,"","→どれか一つにチェック")</f>
        <v>→どれか一つにチェック</v>
      </c>
      <c r="J46" s="310"/>
      <c r="K46" s="310"/>
      <c r="L46" s="310"/>
      <c r="M46" s="310"/>
      <c r="N46" s="310"/>
      <c r="O46" s="310"/>
      <c r="P46" s="310"/>
    </row>
    <row r="47" spans="1:17" s="172" customFormat="1" ht="20.25" customHeight="1">
      <c r="A47" s="5"/>
      <c r="B47" s="606"/>
      <c r="C47" s="607"/>
      <c r="D47" s="457" t="s">
        <v>436</v>
      </c>
      <c r="E47" s="400"/>
      <c r="F47" s="400"/>
      <c r="G47" s="401"/>
      <c r="H47" s="158"/>
      <c r="I47" s="345" t="str">
        <f>IF(A37="✓","→新規開設のために行った職員の募集・採用の状況を記入してください。（R6.4.1以降の開設に向けて、R6.3月までに職員の募集・採用をした場合でも、令和6年度の募集・採用としてご記入ください）","")</f>
        <v/>
      </c>
      <c r="J47" s="345"/>
      <c r="K47" s="345"/>
      <c r="L47" s="345"/>
      <c r="M47" s="345"/>
      <c r="N47" s="345"/>
      <c r="O47" s="345"/>
      <c r="P47" s="345"/>
    </row>
    <row r="48" spans="1:17" s="172" customFormat="1" ht="20.25" customHeight="1" thickBot="1">
      <c r="A48" s="5"/>
      <c r="B48" s="637"/>
      <c r="C48" s="638"/>
      <c r="D48" s="411" t="s">
        <v>437</v>
      </c>
      <c r="E48" s="412"/>
      <c r="F48" s="412"/>
      <c r="G48" s="413"/>
      <c r="H48" s="158"/>
      <c r="I48" s="345"/>
      <c r="J48" s="345"/>
      <c r="K48" s="345"/>
      <c r="L48" s="345"/>
      <c r="M48" s="345"/>
      <c r="N48" s="345"/>
      <c r="O48" s="345"/>
      <c r="P48" s="345"/>
    </row>
    <row r="49" spans="1:31" s="172" customFormat="1" ht="20.25" customHeight="1">
      <c r="A49" s="5"/>
      <c r="B49" s="26"/>
      <c r="C49" s="26"/>
      <c r="D49" s="190"/>
      <c r="E49" s="190"/>
      <c r="F49" s="190"/>
      <c r="G49" s="190"/>
      <c r="H49" s="158"/>
      <c r="I49" s="345"/>
      <c r="J49" s="345"/>
      <c r="K49" s="345"/>
      <c r="L49" s="345"/>
      <c r="M49" s="345"/>
      <c r="N49" s="345"/>
      <c r="O49" s="345"/>
      <c r="P49" s="345"/>
    </row>
    <row r="50" spans="1:31" s="172" customFormat="1" ht="30" customHeight="1" thickBot="1">
      <c r="A50" s="5" t="s">
        <v>490</v>
      </c>
      <c r="B50" s="5"/>
      <c r="C50" s="5"/>
      <c r="D50" s="5"/>
      <c r="E50" s="5"/>
      <c r="F50" s="5"/>
      <c r="G50" s="5"/>
      <c r="H50" s="5"/>
      <c r="I50" s="5"/>
      <c r="J50" s="5"/>
      <c r="K50" s="3"/>
      <c r="L50" s="5"/>
      <c r="M50" s="3"/>
      <c r="N50" s="3"/>
      <c r="O50" s="3"/>
      <c r="P50" s="3"/>
    </row>
    <row r="51" spans="1:31" s="172" customFormat="1" ht="16.5" customHeight="1" thickBot="1">
      <c r="A51" s="218"/>
      <c r="B51" s="639"/>
      <c r="C51" s="640"/>
      <c r="D51" s="641"/>
      <c r="E51" s="600"/>
      <c r="F51" s="601"/>
      <c r="G51" s="201" t="s">
        <v>4</v>
      </c>
      <c r="H51" s="201"/>
      <c r="I51" s="201" t="s">
        <v>5</v>
      </c>
      <c r="J51" s="201"/>
      <c r="K51" s="201" t="s">
        <v>306</v>
      </c>
      <c r="L51" s="201"/>
      <c r="M51" s="201" t="s">
        <v>7</v>
      </c>
      <c r="N51" s="202"/>
      <c r="O51" s="203" t="s">
        <v>30</v>
      </c>
      <c r="P51" s="204"/>
      <c r="Q51" s="132"/>
    </row>
    <row r="52" spans="1:31" s="172" customFormat="1" ht="22.5" customHeight="1">
      <c r="A52" s="219"/>
      <c r="B52" s="589" t="s">
        <v>434</v>
      </c>
      <c r="C52" s="590"/>
      <c r="D52" s="591"/>
      <c r="E52" s="602" t="s">
        <v>401</v>
      </c>
      <c r="F52" s="603"/>
      <c r="G52" s="604"/>
      <c r="H52" s="605"/>
      <c r="I52" s="604"/>
      <c r="J52" s="605"/>
      <c r="K52" s="604"/>
      <c r="L52" s="605"/>
      <c r="M52" s="604"/>
      <c r="N52" s="643"/>
      <c r="O52" s="614">
        <f>SUM(G52:N52)</f>
        <v>0</v>
      </c>
      <c r="P52" s="615"/>
      <c r="Q52" s="132"/>
    </row>
    <row r="53" spans="1:31" s="172" customFormat="1" ht="22.5" customHeight="1" thickBot="1">
      <c r="A53" s="218"/>
      <c r="B53" s="595"/>
      <c r="C53" s="596"/>
      <c r="D53" s="597"/>
      <c r="E53" s="482" t="s">
        <v>400</v>
      </c>
      <c r="F53" s="483"/>
      <c r="G53" s="343"/>
      <c r="H53" s="341"/>
      <c r="I53" s="343"/>
      <c r="J53" s="341"/>
      <c r="K53" s="343"/>
      <c r="L53" s="341"/>
      <c r="M53" s="343"/>
      <c r="N53" s="609"/>
      <c r="O53" s="612">
        <f>SUM(G53:N53)</f>
        <v>0</v>
      </c>
      <c r="P53" s="613"/>
      <c r="Q53" s="132" t="str">
        <f>IF(O52+O53=0,"←人数を記入してください","")</f>
        <v>←人数を記入してください</v>
      </c>
    </row>
    <row r="54" spans="1:31" s="172" customFormat="1" ht="12.75" customHeight="1">
      <c r="A54" s="155"/>
      <c r="B54" s="101"/>
      <c r="C54" s="101"/>
      <c r="D54" s="101"/>
      <c r="E54" s="101"/>
      <c r="F54" s="101"/>
      <c r="G54" s="156"/>
      <c r="H54" s="156"/>
      <c r="I54" s="156"/>
      <c r="J54" s="156"/>
      <c r="K54" s="156"/>
      <c r="L54" s="156"/>
      <c r="M54" s="156"/>
      <c r="N54" s="156"/>
      <c r="O54" s="26"/>
      <c r="P54" s="26"/>
      <c r="Q54" s="132"/>
    </row>
    <row r="55" spans="1:31" s="172" customFormat="1" ht="27.75" customHeight="1">
      <c r="A55" s="5" t="s">
        <v>491</v>
      </c>
      <c r="B55" s="5"/>
      <c r="C55" s="5"/>
      <c r="D55" s="5"/>
      <c r="E55" s="5"/>
      <c r="F55" s="5"/>
      <c r="G55" s="5"/>
      <c r="H55" s="5"/>
      <c r="I55" s="5"/>
      <c r="J55" s="5"/>
      <c r="K55" s="3"/>
      <c r="L55" s="5"/>
      <c r="M55" s="3"/>
      <c r="N55" s="3"/>
      <c r="O55" s="3"/>
      <c r="P55" s="3"/>
      <c r="S55" s="248"/>
      <c r="T55" s="248"/>
      <c r="U55" s="248"/>
      <c r="V55" s="248"/>
      <c r="W55" s="248"/>
      <c r="X55" s="248"/>
    </row>
    <row r="56" spans="1:31" s="172" customFormat="1" ht="20.25" customHeight="1" thickBot="1">
      <c r="A56" s="6" t="s">
        <v>568</v>
      </c>
      <c r="B56" s="26"/>
      <c r="C56" s="26"/>
      <c r="D56" s="190"/>
      <c r="E56" s="190"/>
      <c r="F56" s="190"/>
      <c r="G56" s="190"/>
      <c r="H56" s="158"/>
      <c r="I56" s="220"/>
      <c r="J56" s="5"/>
      <c r="K56" s="3"/>
      <c r="L56" s="5"/>
      <c r="M56" s="3"/>
      <c r="N56" s="3"/>
      <c r="O56" s="3"/>
      <c r="P56" s="3"/>
      <c r="R56" s="256" t="s">
        <v>461</v>
      </c>
      <c r="S56" s="257"/>
      <c r="T56" s="257"/>
      <c r="U56" s="257"/>
      <c r="V56" s="257"/>
      <c r="W56" s="257"/>
      <c r="X56" s="258" t="s">
        <v>473</v>
      </c>
      <c r="Y56" s="249"/>
    </row>
    <row r="57" spans="1:31" s="172" customFormat="1" ht="24" customHeight="1">
      <c r="A57" s="252" t="s">
        <v>402</v>
      </c>
      <c r="B57" s="621" t="s">
        <v>405</v>
      </c>
      <c r="C57" s="661"/>
      <c r="D57" s="621" t="s">
        <v>403</v>
      </c>
      <c r="E57" s="622"/>
      <c r="F57" s="254" t="s">
        <v>445</v>
      </c>
      <c r="G57" s="644" t="s">
        <v>404</v>
      </c>
      <c r="H57" s="645"/>
      <c r="I57" s="646" t="s">
        <v>464</v>
      </c>
      <c r="J57" s="645"/>
      <c r="K57" s="646" t="s">
        <v>466</v>
      </c>
      <c r="L57" s="644"/>
      <c r="M57" s="645"/>
      <c r="N57" s="646" t="s">
        <v>529</v>
      </c>
      <c r="O57" s="644"/>
      <c r="P57" s="647"/>
      <c r="Q57" s="132"/>
      <c r="R57" s="259" t="s">
        <v>405</v>
      </c>
      <c r="S57" s="259" t="s">
        <v>403</v>
      </c>
      <c r="T57" s="259" t="s">
        <v>445</v>
      </c>
      <c r="U57" s="259" t="s">
        <v>404</v>
      </c>
      <c r="V57" s="259" t="s">
        <v>406</v>
      </c>
      <c r="W57" s="259" t="s">
        <v>428</v>
      </c>
      <c r="X57" s="259" t="s">
        <v>430</v>
      </c>
      <c r="Y57" s="1"/>
      <c r="Z57" s="205"/>
      <c r="AA57" s="205"/>
      <c r="AB57" s="205"/>
      <c r="AC57" s="205"/>
      <c r="AD57" s="205"/>
      <c r="AE57" s="205"/>
    </row>
    <row r="58" spans="1:31" s="172" customFormat="1" ht="22.5" customHeight="1">
      <c r="A58" s="311" t="s">
        <v>431</v>
      </c>
      <c r="B58" s="623" t="s">
        <v>408</v>
      </c>
      <c r="C58" s="624"/>
      <c r="D58" s="650" t="s">
        <v>422</v>
      </c>
      <c r="E58" s="648"/>
      <c r="F58" s="312" t="s">
        <v>14</v>
      </c>
      <c r="G58" s="648" t="s">
        <v>424</v>
      </c>
      <c r="H58" s="649"/>
      <c r="I58" s="650" t="s">
        <v>425</v>
      </c>
      <c r="J58" s="649"/>
      <c r="K58" s="618" t="s">
        <v>429</v>
      </c>
      <c r="L58" s="619"/>
      <c r="M58" s="651"/>
      <c r="N58" s="618" t="s">
        <v>286</v>
      </c>
      <c r="O58" s="619"/>
      <c r="P58" s="620"/>
      <c r="Q58" s="132"/>
      <c r="R58" s="260" t="s">
        <v>408</v>
      </c>
      <c r="S58" s="258" t="s">
        <v>4</v>
      </c>
      <c r="T58" s="258" t="s">
        <v>440</v>
      </c>
      <c r="U58" s="258" t="s">
        <v>91</v>
      </c>
      <c r="V58" s="258" t="s">
        <v>196</v>
      </c>
      <c r="W58" s="258" t="s">
        <v>433</v>
      </c>
      <c r="X58" s="260" t="s">
        <v>283</v>
      </c>
      <c r="Y58" s="1"/>
      <c r="Z58" s="205"/>
      <c r="AA58" s="205"/>
      <c r="AB58" s="205"/>
      <c r="AC58" s="205"/>
      <c r="AD58" s="205"/>
      <c r="AE58" s="205"/>
    </row>
    <row r="59" spans="1:31" s="172" customFormat="1" ht="22.5" customHeight="1" thickBot="1">
      <c r="A59" s="311" t="s">
        <v>432</v>
      </c>
      <c r="B59" s="623" t="s">
        <v>416</v>
      </c>
      <c r="C59" s="624"/>
      <c r="D59" s="650" t="s">
        <v>422</v>
      </c>
      <c r="E59" s="648"/>
      <c r="F59" s="313" t="s">
        <v>16</v>
      </c>
      <c r="G59" s="648" t="s">
        <v>399</v>
      </c>
      <c r="H59" s="649"/>
      <c r="I59" s="650" t="s">
        <v>426</v>
      </c>
      <c r="J59" s="649"/>
      <c r="K59" s="618" t="s">
        <v>438</v>
      </c>
      <c r="L59" s="619"/>
      <c r="M59" s="651"/>
      <c r="N59" s="618"/>
      <c r="O59" s="619"/>
      <c r="P59" s="620"/>
      <c r="Q59" s="132"/>
      <c r="R59" s="260" t="s">
        <v>409</v>
      </c>
      <c r="S59" s="258" t="s">
        <v>5</v>
      </c>
      <c r="T59" s="258" t="s">
        <v>14</v>
      </c>
      <c r="U59" s="258" t="s">
        <v>399</v>
      </c>
      <c r="V59" s="258" t="s">
        <v>426</v>
      </c>
      <c r="W59" s="258" t="s">
        <v>429</v>
      </c>
      <c r="X59" s="260" t="s">
        <v>253</v>
      </c>
      <c r="Y59" s="1"/>
      <c r="Z59" s="206"/>
      <c r="AA59" s="206"/>
      <c r="AB59" s="206"/>
      <c r="AC59" s="206"/>
      <c r="AD59" s="206"/>
      <c r="AE59" s="206"/>
    </row>
    <row r="60" spans="1:31" s="172" customFormat="1" ht="22.5" customHeight="1">
      <c r="A60" s="159">
        <v>1</v>
      </c>
      <c r="B60" s="662"/>
      <c r="C60" s="662"/>
      <c r="D60" s="642"/>
      <c r="E60" s="642"/>
      <c r="F60" s="223"/>
      <c r="G60" s="642"/>
      <c r="H60" s="642"/>
      <c r="I60" s="642"/>
      <c r="J60" s="642"/>
      <c r="K60" s="625"/>
      <c r="L60" s="625"/>
      <c r="M60" s="625"/>
      <c r="N60" s="625"/>
      <c r="O60" s="625"/>
      <c r="P60" s="626"/>
      <c r="Q60" s="174"/>
      <c r="R60" s="260" t="s">
        <v>410</v>
      </c>
      <c r="S60" s="258" t="s">
        <v>6</v>
      </c>
      <c r="T60" s="258" t="s">
        <v>15</v>
      </c>
      <c r="U60" s="261"/>
      <c r="V60" s="261"/>
      <c r="W60" s="258" t="s">
        <v>438</v>
      </c>
      <c r="X60" s="262" t="s">
        <v>284</v>
      </c>
      <c r="Y60" s="1"/>
      <c r="Z60" s="205"/>
      <c r="AA60" s="205"/>
      <c r="AB60" s="205"/>
      <c r="AC60" s="205"/>
      <c r="AD60" s="205"/>
      <c r="AE60" s="205"/>
    </row>
    <row r="61" spans="1:31" s="172" customFormat="1" ht="22.5" customHeight="1">
      <c r="A61" s="164">
        <v>2</v>
      </c>
      <c r="B61" s="628"/>
      <c r="C61" s="628"/>
      <c r="D61" s="627"/>
      <c r="E61" s="627"/>
      <c r="F61" s="224"/>
      <c r="G61" s="627"/>
      <c r="H61" s="627"/>
      <c r="I61" s="627"/>
      <c r="J61" s="627"/>
      <c r="K61" s="616"/>
      <c r="L61" s="616"/>
      <c r="M61" s="616"/>
      <c r="N61" s="616"/>
      <c r="O61" s="616"/>
      <c r="P61" s="617"/>
      <c r="Q61" s="132"/>
      <c r="R61" s="260" t="s">
        <v>411</v>
      </c>
      <c r="S61" s="258" t="s">
        <v>7</v>
      </c>
      <c r="T61" s="258" t="s">
        <v>16</v>
      </c>
      <c r="U61" s="263"/>
      <c r="V61" s="263"/>
      <c r="W61" s="258" t="s">
        <v>439</v>
      </c>
      <c r="X61" s="260" t="s">
        <v>285</v>
      </c>
      <c r="Y61" s="1"/>
      <c r="Z61" s="206"/>
      <c r="AA61" s="206"/>
      <c r="AB61" s="206"/>
      <c r="AC61" s="206"/>
      <c r="AD61" s="206"/>
      <c r="AE61" s="206"/>
    </row>
    <row r="62" spans="1:31" s="172" customFormat="1" ht="22.5" customHeight="1">
      <c r="A62" s="164">
        <v>3</v>
      </c>
      <c r="B62" s="628"/>
      <c r="C62" s="628"/>
      <c r="D62" s="627"/>
      <c r="E62" s="627"/>
      <c r="F62" s="224"/>
      <c r="G62" s="627"/>
      <c r="H62" s="627"/>
      <c r="I62" s="627"/>
      <c r="J62" s="627"/>
      <c r="K62" s="616"/>
      <c r="L62" s="616"/>
      <c r="M62" s="616"/>
      <c r="N62" s="616"/>
      <c r="O62" s="616"/>
      <c r="P62" s="617"/>
      <c r="Q62" s="132"/>
      <c r="R62" s="260" t="s">
        <v>412</v>
      </c>
      <c r="S62" s="264"/>
      <c r="T62" s="260" t="s">
        <v>17</v>
      </c>
      <c r="U62" s="263"/>
      <c r="V62" s="263"/>
      <c r="W62" s="265"/>
      <c r="X62" s="260" t="s">
        <v>254</v>
      </c>
      <c r="Y62" s="1"/>
      <c r="Z62" s="205"/>
      <c r="AA62" s="205"/>
      <c r="AB62" s="205"/>
      <c r="AC62" s="205"/>
      <c r="AD62" s="205"/>
      <c r="AE62" s="205"/>
    </row>
    <row r="63" spans="1:31" s="172" customFormat="1" ht="22.5" customHeight="1">
      <c r="A63" s="164">
        <v>4</v>
      </c>
      <c r="B63" s="628"/>
      <c r="C63" s="628"/>
      <c r="D63" s="627"/>
      <c r="E63" s="627"/>
      <c r="F63" s="224"/>
      <c r="G63" s="627"/>
      <c r="H63" s="627"/>
      <c r="I63" s="627"/>
      <c r="J63" s="627"/>
      <c r="K63" s="616"/>
      <c r="L63" s="616"/>
      <c r="M63" s="616"/>
      <c r="N63" s="616"/>
      <c r="O63" s="616"/>
      <c r="P63" s="617"/>
      <c r="Q63" s="132"/>
      <c r="R63" s="260" t="s">
        <v>413</v>
      </c>
      <c r="S63" s="266"/>
      <c r="T63" s="260" t="s">
        <v>18</v>
      </c>
      <c r="U63" s="263"/>
      <c r="V63" s="263"/>
      <c r="W63" s="265"/>
      <c r="X63" s="260" t="s">
        <v>286</v>
      </c>
      <c r="Y63" s="1"/>
      <c r="Z63" s="206"/>
      <c r="AA63" s="206"/>
      <c r="AB63" s="206"/>
      <c r="AC63" s="206"/>
      <c r="AD63" s="206"/>
      <c r="AE63" s="206"/>
    </row>
    <row r="64" spans="1:31" s="172" customFormat="1" ht="22.5" customHeight="1">
      <c r="A64" s="164">
        <v>5</v>
      </c>
      <c r="B64" s="628"/>
      <c r="C64" s="628"/>
      <c r="D64" s="627"/>
      <c r="E64" s="627"/>
      <c r="F64" s="224"/>
      <c r="G64" s="627"/>
      <c r="H64" s="627"/>
      <c r="I64" s="627"/>
      <c r="J64" s="627"/>
      <c r="K64" s="616"/>
      <c r="L64" s="616"/>
      <c r="M64" s="616"/>
      <c r="N64" s="616"/>
      <c r="O64" s="616"/>
      <c r="P64" s="617"/>
      <c r="Q64" s="132"/>
      <c r="R64" s="260" t="s">
        <v>414</v>
      </c>
      <c r="S64" s="266"/>
      <c r="T64" s="263"/>
      <c r="U64" s="263"/>
      <c r="V64" s="263"/>
      <c r="W64" s="265"/>
      <c r="X64" s="260" t="s">
        <v>441</v>
      </c>
      <c r="Y64" s="1"/>
      <c r="Z64" s="205"/>
      <c r="AA64" s="205"/>
      <c r="AB64" s="205"/>
      <c r="AC64" s="205"/>
      <c r="AD64" s="205"/>
      <c r="AE64" s="205"/>
    </row>
    <row r="65" spans="1:31" s="172" customFormat="1" ht="22.5" customHeight="1">
      <c r="A65" s="164">
        <v>6</v>
      </c>
      <c r="B65" s="628"/>
      <c r="C65" s="628"/>
      <c r="D65" s="627"/>
      <c r="E65" s="627"/>
      <c r="F65" s="224"/>
      <c r="G65" s="627"/>
      <c r="H65" s="627"/>
      <c r="I65" s="627"/>
      <c r="J65" s="627"/>
      <c r="K65" s="616"/>
      <c r="L65" s="616"/>
      <c r="M65" s="616"/>
      <c r="N65" s="616"/>
      <c r="O65" s="616"/>
      <c r="P65" s="617"/>
      <c r="Q65" s="132"/>
      <c r="R65" s="260" t="s">
        <v>415</v>
      </c>
      <c r="S65" s="266"/>
      <c r="T65" s="263"/>
      <c r="U65" s="263"/>
      <c r="V65" s="263"/>
      <c r="W65" s="265"/>
      <c r="X65" s="260" t="s">
        <v>255</v>
      </c>
      <c r="Y65" s="1"/>
      <c r="Z65" s="205"/>
      <c r="AA65" s="205"/>
      <c r="AB65" s="205"/>
      <c r="AC65" s="205"/>
      <c r="AD65" s="205"/>
      <c r="AE65" s="205"/>
    </row>
    <row r="66" spans="1:31" s="172" customFormat="1" ht="22.5" customHeight="1">
      <c r="A66" s="164">
        <v>7</v>
      </c>
      <c r="B66" s="628"/>
      <c r="C66" s="628"/>
      <c r="D66" s="627"/>
      <c r="E66" s="627"/>
      <c r="F66" s="224"/>
      <c r="G66" s="627"/>
      <c r="H66" s="627"/>
      <c r="I66" s="627"/>
      <c r="J66" s="627"/>
      <c r="K66" s="616"/>
      <c r="L66" s="616"/>
      <c r="M66" s="616"/>
      <c r="N66" s="616"/>
      <c r="O66" s="616"/>
      <c r="P66" s="617"/>
      <c r="Q66" s="132"/>
      <c r="R66" s="260" t="s">
        <v>416</v>
      </c>
      <c r="S66" s="266"/>
      <c r="T66" s="263"/>
      <c r="U66" s="263"/>
      <c r="V66" s="263"/>
      <c r="W66" s="265"/>
      <c r="X66" s="260" t="s">
        <v>427</v>
      </c>
      <c r="Y66" s="1"/>
      <c r="Z66" s="205"/>
      <c r="AA66" s="205"/>
      <c r="AB66" s="205"/>
      <c r="AC66" s="205"/>
      <c r="AD66" s="205"/>
      <c r="AE66" s="205"/>
    </row>
    <row r="67" spans="1:31" s="172" customFormat="1" ht="22.5" customHeight="1">
      <c r="A67" s="164">
        <v>8</v>
      </c>
      <c r="B67" s="628"/>
      <c r="C67" s="628"/>
      <c r="D67" s="627"/>
      <c r="E67" s="627"/>
      <c r="F67" s="224"/>
      <c r="G67" s="627"/>
      <c r="H67" s="627"/>
      <c r="I67" s="627"/>
      <c r="J67" s="627"/>
      <c r="K67" s="616"/>
      <c r="L67" s="616"/>
      <c r="M67" s="616"/>
      <c r="N67" s="616"/>
      <c r="O67" s="616"/>
      <c r="P67" s="617"/>
      <c r="Q67" s="132"/>
      <c r="R67" s="260" t="s">
        <v>417</v>
      </c>
      <c r="S67" s="266"/>
      <c r="T67" s="263"/>
      <c r="U67" s="263"/>
      <c r="V67" s="263"/>
      <c r="W67" s="265"/>
      <c r="X67" s="258" t="s">
        <v>532</v>
      </c>
      <c r="Y67" s="1"/>
      <c r="Z67" s="205"/>
      <c r="AA67" s="205"/>
      <c r="AB67" s="205"/>
      <c r="AC67" s="205"/>
      <c r="AD67" s="205"/>
      <c r="AE67" s="205"/>
    </row>
    <row r="68" spans="1:31" s="172" customFormat="1" ht="22.5" customHeight="1">
      <c r="A68" s="164">
        <v>9</v>
      </c>
      <c r="B68" s="628"/>
      <c r="C68" s="628"/>
      <c r="D68" s="627"/>
      <c r="E68" s="627"/>
      <c r="F68" s="224"/>
      <c r="G68" s="627"/>
      <c r="H68" s="627"/>
      <c r="I68" s="627"/>
      <c r="J68" s="627"/>
      <c r="K68" s="616"/>
      <c r="L68" s="616"/>
      <c r="M68" s="616"/>
      <c r="N68" s="616"/>
      <c r="O68" s="616"/>
      <c r="P68" s="617"/>
      <c r="Q68" s="132"/>
      <c r="R68" s="260" t="s">
        <v>418</v>
      </c>
      <c r="S68" s="263"/>
      <c r="T68" s="263"/>
      <c r="U68" s="263"/>
      <c r="V68" s="263"/>
      <c r="W68" s="263"/>
      <c r="X68" s="267"/>
      <c r="Y68" s="1"/>
      <c r="Z68" s="205"/>
      <c r="AA68" s="205"/>
      <c r="AB68" s="205"/>
      <c r="AC68" s="205"/>
      <c r="AD68" s="205"/>
      <c r="AE68" s="205"/>
    </row>
    <row r="69" spans="1:31" s="172" customFormat="1" ht="22.5" customHeight="1" thickBot="1">
      <c r="A69" s="165">
        <v>10</v>
      </c>
      <c r="B69" s="658"/>
      <c r="C69" s="658"/>
      <c r="D69" s="342"/>
      <c r="E69" s="342"/>
      <c r="F69" s="152"/>
      <c r="G69" s="342"/>
      <c r="H69" s="342"/>
      <c r="I69" s="342"/>
      <c r="J69" s="342"/>
      <c r="K69" s="659"/>
      <c r="L69" s="659"/>
      <c r="M69" s="659"/>
      <c r="N69" s="659"/>
      <c r="O69" s="659"/>
      <c r="P69" s="660"/>
      <c r="Q69" s="132"/>
      <c r="R69" s="260" t="s">
        <v>419</v>
      </c>
      <c r="S69" s="263"/>
      <c r="T69" s="263"/>
      <c r="U69" s="263"/>
      <c r="V69" s="263"/>
      <c r="W69" s="263"/>
      <c r="X69" s="267"/>
      <c r="Y69" s="1"/>
      <c r="Z69" s="206"/>
      <c r="AA69" s="206"/>
      <c r="AB69" s="206"/>
      <c r="AC69" s="206"/>
      <c r="AD69" s="206"/>
      <c r="AE69" s="206"/>
    </row>
    <row r="70" spans="1:31" s="172" customFormat="1" ht="12.75" customHeight="1">
      <c r="A70" s="155"/>
      <c r="B70" s="101"/>
      <c r="C70" s="101"/>
      <c r="D70" s="101"/>
      <c r="E70" s="101"/>
      <c r="F70" s="101"/>
      <c r="G70" s="156"/>
      <c r="H70" s="156"/>
      <c r="I70" s="156"/>
      <c r="J70" s="156"/>
      <c r="K70" s="156"/>
      <c r="L70" s="156"/>
      <c r="M70" s="156"/>
      <c r="N70" s="156"/>
      <c r="O70" s="26"/>
      <c r="P70" s="26"/>
      <c r="Q70" s="132"/>
      <c r="R70" s="247"/>
      <c r="S70" s="247"/>
      <c r="T70" s="247"/>
      <c r="U70" s="247"/>
      <c r="V70" s="247"/>
      <c r="W70" s="247"/>
      <c r="X70" s="247"/>
      <c r="Y70" s="1"/>
      <c r="Z70" s="205"/>
      <c r="AA70" s="205"/>
      <c r="AB70" s="205"/>
      <c r="AC70" s="205"/>
      <c r="AD70" s="205"/>
      <c r="AE70" s="205"/>
    </row>
    <row r="71" spans="1:31" s="172" customFormat="1" ht="18.75" customHeight="1">
      <c r="A71" s="3" t="s">
        <v>465</v>
      </c>
      <c r="B71" s="3"/>
      <c r="C71" s="3"/>
      <c r="D71" s="3"/>
      <c r="E71" s="3"/>
      <c r="F71" s="3"/>
      <c r="G71" s="3"/>
      <c r="H71" s="3"/>
      <c r="I71" s="3"/>
      <c r="J71" s="3"/>
      <c r="K71" s="3"/>
      <c r="L71" s="3"/>
      <c r="M71" s="6"/>
      <c r="N71" s="6"/>
      <c r="O71" s="3"/>
    </row>
    <row r="72" spans="1:31" s="172" customFormat="1" ht="32.25" customHeight="1">
      <c r="A72" s="344" t="s">
        <v>467</v>
      </c>
      <c r="B72" s="344"/>
      <c r="C72" s="344"/>
      <c r="D72" s="344"/>
      <c r="E72" s="344"/>
      <c r="F72" s="344"/>
      <c r="G72" s="344"/>
      <c r="H72" s="344"/>
      <c r="I72" s="344"/>
      <c r="J72" s="344"/>
      <c r="K72" s="344"/>
      <c r="L72" s="344"/>
      <c r="M72" s="344"/>
      <c r="N72" s="344"/>
      <c r="O72" s="344"/>
      <c r="P72" s="344"/>
    </row>
    <row r="73" spans="1:31" s="172" customFormat="1" ht="19.5" customHeight="1">
      <c r="A73" s="344" t="s">
        <v>530</v>
      </c>
      <c r="B73" s="344"/>
      <c r="C73" s="344"/>
      <c r="D73" s="344"/>
      <c r="E73" s="344"/>
      <c r="F73" s="344"/>
      <c r="G73" s="344"/>
      <c r="H73" s="344"/>
      <c r="I73" s="344"/>
      <c r="J73" s="344"/>
      <c r="K73" s="344"/>
      <c r="L73" s="344"/>
      <c r="M73" s="344"/>
      <c r="N73" s="344"/>
      <c r="O73" s="344"/>
      <c r="P73" s="344"/>
    </row>
    <row r="74" spans="1:31" ht="9.65" customHeight="1">
      <c r="A74" s="3"/>
      <c r="B74" s="3"/>
      <c r="C74" s="3"/>
      <c r="D74" s="3"/>
      <c r="E74" s="3"/>
      <c r="F74" s="3"/>
      <c r="G74" s="3"/>
      <c r="H74" s="3"/>
      <c r="I74" s="3"/>
      <c r="J74" s="3"/>
      <c r="K74" s="3"/>
      <c r="L74" s="3"/>
      <c r="M74" s="3"/>
      <c r="N74" s="6"/>
      <c r="O74" s="6"/>
      <c r="P74" s="3"/>
      <c r="U74" s="1"/>
      <c r="V74" s="1"/>
      <c r="W74" s="1"/>
      <c r="X74" s="1"/>
      <c r="Y74" s="1"/>
      <c r="Z74" s="205"/>
      <c r="AA74" s="205"/>
      <c r="AB74" s="205"/>
      <c r="AC74" s="205"/>
      <c r="AD74" s="205"/>
      <c r="AE74" s="205"/>
    </row>
    <row r="75" spans="1:31" s="172" customFormat="1" ht="12.75" customHeight="1">
      <c r="A75" s="155"/>
      <c r="B75" s="101"/>
      <c r="C75" s="101"/>
      <c r="D75" s="101"/>
      <c r="E75" s="101"/>
      <c r="F75" s="101"/>
      <c r="G75" s="156"/>
      <c r="H75" s="156"/>
      <c r="I75" s="156"/>
      <c r="J75" s="156"/>
      <c r="K75" s="156"/>
      <c r="L75" s="156"/>
      <c r="M75" s="156"/>
      <c r="N75" s="156"/>
      <c r="O75" s="26"/>
      <c r="P75" s="26"/>
      <c r="Q75" s="132"/>
      <c r="U75" s="1"/>
      <c r="V75" s="1"/>
      <c r="W75" s="1"/>
      <c r="X75" s="1"/>
      <c r="Y75" s="1"/>
      <c r="Z75" s="205"/>
      <c r="AA75" s="205"/>
      <c r="AB75" s="205"/>
      <c r="AC75" s="205"/>
      <c r="AD75" s="205"/>
      <c r="AE75" s="205"/>
    </row>
    <row r="76" spans="1:31" ht="30" customHeight="1">
      <c r="A76" s="4" t="s">
        <v>308</v>
      </c>
      <c r="B76" s="4"/>
      <c r="C76" s="4"/>
      <c r="D76" s="4"/>
      <c r="E76" s="4"/>
      <c r="F76" s="4"/>
      <c r="G76" s="4"/>
      <c r="H76" s="4"/>
      <c r="I76" s="4"/>
      <c r="J76" s="4"/>
      <c r="K76" s="4"/>
      <c r="L76" s="4"/>
      <c r="M76" s="4"/>
      <c r="N76" s="4"/>
      <c r="O76" s="4"/>
      <c r="P76" s="4"/>
      <c r="U76" s="1"/>
      <c r="V76" s="1"/>
      <c r="W76" s="1"/>
      <c r="X76" s="1"/>
      <c r="Y76" s="1"/>
      <c r="Z76" s="1"/>
    </row>
    <row r="77" spans="1:31" s="172" customFormat="1" ht="30" customHeight="1" thickBot="1">
      <c r="A77" s="5" t="s">
        <v>492</v>
      </c>
      <c r="B77" s="5"/>
      <c r="C77" s="5"/>
      <c r="D77" s="5"/>
      <c r="E77" s="5"/>
      <c r="F77" s="5"/>
      <c r="G77" s="5"/>
      <c r="H77" s="5"/>
      <c r="I77" s="5"/>
      <c r="J77" s="5"/>
      <c r="K77" s="3"/>
      <c r="L77" s="5"/>
      <c r="M77" s="3"/>
      <c r="N77" s="3"/>
      <c r="O77" s="3"/>
      <c r="P77" s="3"/>
    </row>
    <row r="78" spans="1:31" s="172" customFormat="1" ht="20.25" customHeight="1">
      <c r="A78" s="5"/>
      <c r="B78" s="634"/>
      <c r="C78" s="635"/>
      <c r="D78" s="636" t="s">
        <v>442</v>
      </c>
      <c r="E78" s="397"/>
      <c r="F78" s="397"/>
      <c r="G78" s="398"/>
      <c r="H78" s="158"/>
      <c r="J78" s="5"/>
      <c r="K78" s="3"/>
      <c r="L78" s="5"/>
      <c r="M78" s="3"/>
      <c r="N78" s="3"/>
      <c r="O78" s="3"/>
      <c r="P78" s="3"/>
    </row>
    <row r="79" spans="1:31" s="172" customFormat="1" ht="20.25" customHeight="1" thickBot="1">
      <c r="A79" s="5"/>
      <c r="B79" s="637"/>
      <c r="C79" s="638"/>
      <c r="D79" s="411" t="s">
        <v>443</v>
      </c>
      <c r="E79" s="412"/>
      <c r="F79" s="412"/>
      <c r="G79" s="413"/>
      <c r="H79" s="158"/>
      <c r="I79" s="220" t="str">
        <f>IF(COUNTIF(B78:C79,"✓")=1,"","どれか一つにチェック")</f>
        <v>どれか一つにチェック</v>
      </c>
      <c r="J79" s="5"/>
      <c r="K79" s="3"/>
      <c r="L79" s="5"/>
      <c r="M79" s="3"/>
      <c r="N79" s="3"/>
      <c r="O79" s="3"/>
      <c r="P79" s="3"/>
    </row>
    <row r="80" spans="1:31" s="172" customFormat="1" ht="9" customHeight="1">
      <c r="A80" s="225"/>
      <c r="B80" s="26"/>
      <c r="C80" s="26"/>
      <c r="D80" s="190"/>
      <c r="E80" s="190"/>
      <c r="F80" s="190"/>
      <c r="G80" s="190"/>
      <c r="H80" s="158"/>
      <c r="I80" s="220"/>
      <c r="J80" s="5"/>
      <c r="K80" s="3"/>
      <c r="L80" s="5"/>
      <c r="M80" s="3"/>
      <c r="N80" s="3"/>
      <c r="O80" s="3"/>
      <c r="P80" s="3"/>
    </row>
    <row r="81" spans="1:31" s="172" customFormat="1" ht="30" customHeight="1">
      <c r="A81" s="5" t="s">
        <v>493</v>
      </c>
      <c r="B81" s="3"/>
      <c r="C81" s="3"/>
      <c r="D81" s="3"/>
      <c r="E81" s="3"/>
      <c r="F81" s="3"/>
      <c r="G81" s="3"/>
      <c r="H81" s="3"/>
      <c r="I81" s="3"/>
      <c r="J81" s="3"/>
      <c r="K81" s="3"/>
      <c r="L81" s="3"/>
      <c r="M81" s="3"/>
      <c r="N81" s="3"/>
      <c r="O81" s="3"/>
      <c r="P81" s="3"/>
      <c r="S81" s="248"/>
      <c r="T81" s="248"/>
      <c r="U81" s="250"/>
      <c r="V81" s="250"/>
      <c r="W81" s="250"/>
      <c r="X81" s="250"/>
      <c r="Y81" s="250"/>
      <c r="Z81" s="1"/>
    </row>
    <row r="82" spans="1:31" s="172" customFormat="1" ht="20.25" customHeight="1">
      <c r="A82" s="6" t="s">
        <v>468</v>
      </c>
      <c r="B82" s="26"/>
      <c r="C82" s="26"/>
      <c r="D82" s="190"/>
      <c r="E82" s="190"/>
      <c r="F82" s="190"/>
      <c r="G82" s="190"/>
      <c r="H82" s="158"/>
      <c r="I82" s="220"/>
      <c r="J82" s="5"/>
      <c r="K82" s="3"/>
      <c r="L82" s="5"/>
      <c r="M82" s="3"/>
      <c r="N82" s="3"/>
      <c r="O82" s="3"/>
      <c r="P82" s="3"/>
      <c r="R82" s="251"/>
      <c r="S82" s="251"/>
      <c r="T82" s="251"/>
      <c r="U82" s="251"/>
      <c r="V82" s="251"/>
      <c r="W82" s="251"/>
      <c r="X82" s="1"/>
      <c r="Y82" s="277"/>
    </row>
    <row r="83" spans="1:31" s="172" customFormat="1" ht="20.25" customHeight="1">
      <c r="A83" s="6" t="s">
        <v>469</v>
      </c>
      <c r="B83" s="26"/>
      <c r="C83" s="26"/>
      <c r="D83" s="190"/>
      <c r="E83" s="190"/>
      <c r="F83" s="190"/>
      <c r="G83" s="190"/>
      <c r="H83" s="158"/>
      <c r="I83" s="220"/>
      <c r="J83" s="5"/>
      <c r="K83" s="3"/>
      <c r="L83" s="5"/>
      <c r="M83" s="3"/>
      <c r="N83" s="3"/>
      <c r="O83" s="3"/>
      <c r="P83" s="3"/>
      <c r="R83" s="268" t="s">
        <v>462</v>
      </c>
      <c r="S83" s="257"/>
      <c r="T83" s="257"/>
      <c r="U83" s="257"/>
      <c r="V83" s="257"/>
      <c r="W83" s="257"/>
      <c r="X83" s="1"/>
      <c r="Y83" s="263"/>
    </row>
    <row r="84" spans="1:31" s="172" customFormat="1" ht="12.75" customHeight="1" thickBot="1">
      <c r="A84" s="6"/>
      <c r="B84" s="26"/>
      <c r="C84" s="26"/>
      <c r="D84" s="190"/>
      <c r="E84" s="190"/>
      <c r="F84" s="190"/>
      <c r="G84" s="190"/>
      <c r="H84" s="158"/>
      <c r="I84" s="220"/>
      <c r="J84" s="5"/>
      <c r="K84" s="3"/>
      <c r="L84" s="5"/>
      <c r="M84" s="3"/>
      <c r="N84" s="3"/>
      <c r="O84" s="3"/>
      <c r="P84" s="3"/>
      <c r="R84" s="257"/>
      <c r="S84" s="257"/>
      <c r="T84" s="257"/>
      <c r="U84" s="257"/>
      <c r="V84" s="257"/>
      <c r="W84" s="257"/>
      <c r="X84" s="278"/>
      <c r="Y84" s="263"/>
    </row>
    <row r="85" spans="1:31" s="172" customFormat="1" ht="30.75" customHeight="1">
      <c r="A85" s="252" t="s">
        <v>444</v>
      </c>
      <c r="B85" s="631" t="s">
        <v>451</v>
      </c>
      <c r="C85" s="631"/>
      <c r="D85" s="631" t="s">
        <v>403</v>
      </c>
      <c r="E85" s="631"/>
      <c r="F85" s="253" t="s">
        <v>450</v>
      </c>
      <c r="G85" s="646" t="s">
        <v>404</v>
      </c>
      <c r="H85" s="645"/>
      <c r="I85" s="646" t="s">
        <v>447</v>
      </c>
      <c r="J85" s="645"/>
      <c r="K85" s="316" t="s">
        <v>563</v>
      </c>
      <c r="L85" s="654" t="s">
        <v>565</v>
      </c>
      <c r="M85" s="654"/>
      <c r="N85" s="654"/>
      <c r="O85" s="652" t="s">
        <v>455</v>
      </c>
      <c r="P85" s="653"/>
      <c r="Q85" s="132"/>
      <c r="R85" s="269" t="s">
        <v>452</v>
      </c>
      <c r="S85" s="269" t="s">
        <v>403</v>
      </c>
      <c r="T85" s="259" t="s">
        <v>449</v>
      </c>
      <c r="U85" s="269" t="s">
        <v>404</v>
      </c>
      <c r="V85" s="269" t="s">
        <v>447</v>
      </c>
      <c r="W85" s="269" t="s">
        <v>457</v>
      </c>
      <c r="X85" s="269" t="s">
        <v>40</v>
      </c>
      <c r="Y85" s="269" t="s">
        <v>430</v>
      </c>
      <c r="Z85" s="205"/>
      <c r="AA85" s="205"/>
      <c r="AB85" s="205"/>
      <c r="AC85" s="205"/>
      <c r="AD85" s="205"/>
      <c r="AE85" s="205"/>
    </row>
    <row r="86" spans="1:31" s="172" customFormat="1" ht="22.5" customHeight="1">
      <c r="A86" s="200" t="s">
        <v>431</v>
      </c>
      <c r="B86" s="629" t="s">
        <v>411</v>
      </c>
      <c r="C86" s="629"/>
      <c r="D86" s="630" t="s">
        <v>422</v>
      </c>
      <c r="E86" s="630"/>
      <c r="F86" s="245" t="s">
        <v>14</v>
      </c>
      <c r="G86" s="665" t="s">
        <v>424</v>
      </c>
      <c r="H86" s="666"/>
      <c r="I86" s="665" t="s">
        <v>453</v>
      </c>
      <c r="J86" s="666"/>
      <c r="K86" s="244" t="s">
        <v>458</v>
      </c>
      <c r="L86" s="655" t="s">
        <v>528</v>
      </c>
      <c r="M86" s="656"/>
      <c r="N86" s="657"/>
      <c r="O86" s="587" t="s">
        <v>441</v>
      </c>
      <c r="P86" s="588"/>
      <c r="Q86" s="132"/>
      <c r="R86" s="258" t="s">
        <v>408</v>
      </c>
      <c r="S86" s="258" t="s">
        <v>4</v>
      </c>
      <c r="T86" s="258" t="s">
        <v>440</v>
      </c>
      <c r="U86" s="270" t="s">
        <v>91</v>
      </c>
      <c r="V86" s="258" t="s">
        <v>453</v>
      </c>
      <c r="W86" s="271" t="s">
        <v>459</v>
      </c>
      <c r="X86" s="258" t="s">
        <v>204</v>
      </c>
      <c r="Y86" s="260" t="s">
        <v>283</v>
      </c>
      <c r="Z86" s="205"/>
      <c r="AA86" s="205"/>
      <c r="AB86" s="205"/>
      <c r="AC86" s="205"/>
      <c r="AD86" s="205"/>
      <c r="AE86" s="205"/>
    </row>
    <row r="87" spans="1:31" s="172" customFormat="1" ht="22.5" customHeight="1" thickBot="1">
      <c r="A87" s="200" t="s">
        <v>432</v>
      </c>
      <c r="B87" s="663" t="s">
        <v>416</v>
      </c>
      <c r="C87" s="663"/>
      <c r="D87" s="664" t="s">
        <v>423</v>
      </c>
      <c r="E87" s="664"/>
      <c r="F87" s="246" t="s">
        <v>17</v>
      </c>
      <c r="G87" s="667" t="s">
        <v>399</v>
      </c>
      <c r="H87" s="668"/>
      <c r="I87" s="667" t="s">
        <v>98</v>
      </c>
      <c r="J87" s="668"/>
      <c r="K87" s="300" t="s">
        <v>514</v>
      </c>
      <c r="L87" s="586"/>
      <c r="M87" s="586"/>
      <c r="N87" s="586"/>
      <c r="O87" s="632"/>
      <c r="P87" s="633"/>
      <c r="Q87" s="132"/>
      <c r="R87" s="258" t="s">
        <v>409</v>
      </c>
      <c r="S87" s="258" t="s">
        <v>5</v>
      </c>
      <c r="T87" s="258" t="s">
        <v>14</v>
      </c>
      <c r="U87" s="270" t="s">
        <v>399</v>
      </c>
      <c r="V87" s="258" t="s">
        <v>454</v>
      </c>
      <c r="W87" s="271" t="s">
        <v>460</v>
      </c>
      <c r="X87" s="258" t="s">
        <v>205</v>
      </c>
      <c r="Y87" s="260" t="s">
        <v>253</v>
      </c>
      <c r="Z87" s="206"/>
      <c r="AA87" s="206"/>
      <c r="AB87" s="206"/>
      <c r="AC87" s="206"/>
      <c r="AD87" s="206"/>
      <c r="AE87" s="206"/>
    </row>
    <row r="88" spans="1:31" s="172" customFormat="1" ht="22.5" customHeight="1">
      <c r="A88" s="159">
        <v>1</v>
      </c>
      <c r="B88" s="662"/>
      <c r="C88" s="662"/>
      <c r="D88" s="642"/>
      <c r="E88" s="642"/>
      <c r="F88" s="232"/>
      <c r="G88" s="642"/>
      <c r="H88" s="642"/>
      <c r="I88" s="642"/>
      <c r="J88" s="642"/>
      <c r="K88" s="227"/>
      <c r="L88" s="683"/>
      <c r="M88" s="683"/>
      <c r="N88" s="683"/>
      <c r="O88" s="625"/>
      <c r="P88" s="626"/>
      <c r="Q88" s="174"/>
      <c r="R88" s="258" t="s">
        <v>410</v>
      </c>
      <c r="S88" s="258" t="s">
        <v>6</v>
      </c>
      <c r="T88" s="258" t="s">
        <v>15</v>
      </c>
      <c r="U88" s="261"/>
      <c r="V88" s="258" t="s">
        <v>96</v>
      </c>
      <c r="W88" s="264"/>
      <c r="X88" s="258" t="s">
        <v>213</v>
      </c>
      <c r="Y88" s="262" t="s">
        <v>284</v>
      </c>
      <c r="Z88" s="205"/>
      <c r="AA88" s="205"/>
      <c r="AB88" s="205"/>
      <c r="AC88" s="205"/>
      <c r="AD88" s="205"/>
      <c r="AE88" s="205"/>
    </row>
    <row r="89" spans="1:31" s="172" customFormat="1" ht="22.5" customHeight="1">
      <c r="A89" s="164">
        <v>2</v>
      </c>
      <c r="B89" s="628"/>
      <c r="C89" s="628"/>
      <c r="D89" s="627"/>
      <c r="E89" s="627"/>
      <c r="F89" s="230"/>
      <c r="G89" s="627"/>
      <c r="H89" s="627"/>
      <c r="I89" s="627"/>
      <c r="J89" s="627"/>
      <c r="K89" s="228"/>
      <c r="L89" s="669"/>
      <c r="M89" s="669"/>
      <c r="N89" s="669"/>
      <c r="O89" s="616"/>
      <c r="P89" s="617"/>
      <c r="Q89" s="132"/>
      <c r="R89" s="258" t="s">
        <v>411</v>
      </c>
      <c r="S89" s="258" t="s">
        <v>7</v>
      </c>
      <c r="T89" s="258" t="s">
        <v>16</v>
      </c>
      <c r="U89" s="263"/>
      <c r="V89" s="258" t="s">
        <v>97</v>
      </c>
      <c r="W89" s="266"/>
      <c r="X89" s="258" t="s">
        <v>214</v>
      </c>
      <c r="Y89" s="260" t="s">
        <v>285</v>
      </c>
      <c r="Z89" s="206"/>
      <c r="AA89" s="206"/>
      <c r="AB89" s="206"/>
      <c r="AC89" s="206"/>
      <c r="AD89" s="206"/>
      <c r="AE89" s="206"/>
    </row>
    <row r="90" spans="1:31" s="172" customFormat="1" ht="22.5" customHeight="1">
      <c r="A90" s="164">
        <v>3</v>
      </c>
      <c r="B90" s="628"/>
      <c r="C90" s="628"/>
      <c r="D90" s="627"/>
      <c r="E90" s="627"/>
      <c r="F90" s="230"/>
      <c r="G90" s="627"/>
      <c r="H90" s="627"/>
      <c r="I90" s="627"/>
      <c r="J90" s="627"/>
      <c r="K90" s="228"/>
      <c r="L90" s="669"/>
      <c r="M90" s="669"/>
      <c r="N90" s="669"/>
      <c r="O90" s="616"/>
      <c r="P90" s="617"/>
      <c r="Q90" s="132"/>
      <c r="R90" s="258" t="s">
        <v>412</v>
      </c>
      <c r="S90" s="264"/>
      <c r="T90" s="260" t="s">
        <v>17</v>
      </c>
      <c r="U90" s="263"/>
      <c r="V90" s="260" t="s">
        <v>98</v>
      </c>
      <c r="W90" s="263"/>
      <c r="X90" s="258" t="s">
        <v>215</v>
      </c>
      <c r="Y90" s="260" t="s">
        <v>254</v>
      </c>
      <c r="Z90" s="205"/>
      <c r="AA90" s="205"/>
      <c r="AB90" s="205"/>
      <c r="AC90" s="205"/>
      <c r="AD90" s="205"/>
      <c r="AE90" s="205"/>
    </row>
    <row r="91" spans="1:31" s="172" customFormat="1" ht="22.5" customHeight="1">
      <c r="A91" s="164">
        <v>4</v>
      </c>
      <c r="B91" s="628"/>
      <c r="C91" s="628"/>
      <c r="D91" s="627"/>
      <c r="E91" s="627"/>
      <c r="F91" s="230"/>
      <c r="G91" s="627"/>
      <c r="H91" s="627"/>
      <c r="I91" s="627"/>
      <c r="J91" s="627"/>
      <c r="K91" s="228"/>
      <c r="L91" s="669"/>
      <c r="M91" s="669"/>
      <c r="N91" s="669"/>
      <c r="O91" s="616"/>
      <c r="P91" s="617"/>
      <c r="Q91" s="132"/>
      <c r="R91" s="258" t="s">
        <v>413</v>
      </c>
      <c r="S91" s="266"/>
      <c r="T91" s="260" t="s">
        <v>18</v>
      </c>
      <c r="U91" s="263"/>
      <c r="V91" s="260" t="s">
        <v>12</v>
      </c>
      <c r="W91" s="263"/>
      <c r="X91" s="258" t="s">
        <v>216</v>
      </c>
      <c r="Y91" s="260" t="s">
        <v>286</v>
      </c>
      <c r="Z91" s="206"/>
      <c r="AA91" s="206"/>
      <c r="AB91" s="206"/>
      <c r="AC91" s="206"/>
      <c r="AD91" s="206"/>
      <c r="AE91" s="206"/>
    </row>
    <row r="92" spans="1:31" s="172" customFormat="1" ht="22.5" customHeight="1">
      <c r="A92" s="164">
        <v>5</v>
      </c>
      <c r="B92" s="628"/>
      <c r="C92" s="628"/>
      <c r="D92" s="627"/>
      <c r="E92" s="627"/>
      <c r="F92" s="230"/>
      <c r="G92" s="627"/>
      <c r="H92" s="627"/>
      <c r="I92" s="627"/>
      <c r="J92" s="627"/>
      <c r="K92" s="228"/>
      <c r="L92" s="669"/>
      <c r="M92" s="669"/>
      <c r="N92" s="669"/>
      <c r="O92" s="616"/>
      <c r="P92" s="617"/>
      <c r="Q92" s="132"/>
      <c r="R92" s="258" t="s">
        <v>414</v>
      </c>
      <c r="S92" s="266"/>
      <c r="T92" s="263"/>
      <c r="U92" s="263"/>
      <c r="V92" s="260" t="s">
        <v>13</v>
      </c>
      <c r="W92" s="263"/>
      <c r="X92" s="258" t="s">
        <v>217</v>
      </c>
      <c r="Y92" s="260" t="s">
        <v>441</v>
      </c>
      <c r="Z92" s="205"/>
      <c r="AA92" s="205"/>
      <c r="AB92" s="205"/>
      <c r="AC92" s="205"/>
      <c r="AD92" s="205"/>
      <c r="AE92" s="205"/>
    </row>
    <row r="93" spans="1:31" s="172" customFormat="1" ht="22.5" customHeight="1">
      <c r="A93" s="164">
        <v>6</v>
      </c>
      <c r="B93" s="628"/>
      <c r="C93" s="628"/>
      <c r="D93" s="627"/>
      <c r="E93" s="627"/>
      <c r="F93" s="230"/>
      <c r="G93" s="627"/>
      <c r="H93" s="627"/>
      <c r="I93" s="627"/>
      <c r="J93" s="627"/>
      <c r="K93" s="228"/>
      <c r="L93" s="669"/>
      <c r="M93" s="669"/>
      <c r="N93" s="669"/>
      <c r="O93" s="616"/>
      <c r="P93" s="617"/>
      <c r="Q93" s="132"/>
      <c r="R93" s="258" t="s">
        <v>415</v>
      </c>
      <c r="S93" s="266"/>
      <c r="T93" s="263"/>
      <c r="U93" s="263"/>
      <c r="V93" s="263"/>
      <c r="W93" s="263"/>
      <c r="X93" s="258" t="s">
        <v>218</v>
      </c>
      <c r="Y93" s="260" t="s">
        <v>255</v>
      </c>
      <c r="Z93" s="205"/>
      <c r="AA93" s="205"/>
      <c r="AB93" s="205"/>
      <c r="AC93" s="205"/>
      <c r="AD93" s="205"/>
      <c r="AE93" s="205"/>
    </row>
    <row r="94" spans="1:31" s="172" customFormat="1" ht="22.5" customHeight="1">
      <c r="A94" s="164">
        <v>7</v>
      </c>
      <c r="B94" s="628"/>
      <c r="C94" s="628"/>
      <c r="D94" s="627"/>
      <c r="E94" s="627"/>
      <c r="F94" s="230"/>
      <c r="G94" s="627"/>
      <c r="H94" s="627"/>
      <c r="I94" s="627"/>
      <c r="J94" s="627"/>
      <c r="K94" s="228"/>
      <c r="L94" s="669"/>
      <c r="M94" s="669"/>
      <c r="N94" s="669"/>
      <c r="O94" s="616"/>
      <c r="P94" s="617"/>
      <c r="Q94" s="132"/>
      <c r="R94" s="258" t="s">
        <v>416</v>
      </c>
      <c r="S94" s="266"/>
      <c r="T94" s="263"/>
      <c r="U94" s="263"/>
      <c r="V94" s="263"/>
      <c r="W94" s="263"/>
      <c r="X94" s="258" t="s">
        <v>219</v>
      </c>
      <c r="Y94" s="260" t="s">
        <v>427</v>
      </c>
      <c r="Z94" s="205"/>
      <c r="AA94" s="205"/>
      <c r="AB94" s="205"/>
      <c r="AC94" s="205"/>
      <c r="AD94" s="205"/>
      <c r="AE94" s="205"/>
    </row>
    <row r="95" spans="1:31" s="172" customFormat="1" ht="22.5" customHeight="1">
      <c r="A95" s="164">
        <v>8</v>
      </c>
      <c r="B95" s="628"/>
      <c r="C95" s="628"/>
      <c r="D95" s="627"/>
      <c r="E95" s="627"/>
      <c r="F95" s="230"/>
      <c r="G95" s="627"/>
      <c r="H95" s="627"/>
      <c r="I95" s="627"/>
      <c r="J95" s="627"/>
      <c r="K95" s="228"/>
      <c r="L95" s="669"/>
      <c r="M95" s="669"/>
      <c r="N95" s="669"/>
      <c r="O95" s="616"/>
      <c r="P95" s="617"/>
      <c r="Q95" s="132"/>
      <c r="R95" s="258" t="s">
        <v>417</v>
      </c>
      <c r="S95" s="266"/>
      <c r="T95" s="263"/>
      <c r="U95" s="263"/>
      <c r="V95" s="263"/>
      <c r="W95" s="263"/>
      <c r="X95" s="258" t="s">
        <v>221</v>
      </c>
      <c r="Y95" s="258" t="s">
        <v>532</v>
      </c>
      <c r="Z95" s="205"/>
      <c r="AA95" s="205"/>
      <c r="AB95" s="205"/>
      <c r="AC95" s="205"/>
      <c r="AD95" s="205"/>
      <c r="AE95" s="205"/>
    </row>
    <row r="96" spans="1:31" s="172" customFormat="1" ht="22.5" customHeight="1">
      <c r="A96" s="164">
        <v>9</v>
      </c>
      <c r="B96" s="628"/>
      <c r="C96" s="628"/>
      <c r="D96" s="627"/>
      <c r="E96" s="627"/>
      <c r="F96" s="230"/>
      <c r="G96" s="627"/>
      <c r="H96" s="627"/>
      <c r="I96" s="627"/>
      <c r="J96" s="627"/>
      <c r="K96" s="228"/>
      <c r="L96" s="669"/>
      <c r="M96" s="669"/>
      <c r="N96" s="669"/>
      <c r="O96" s="616"/>
      <c r="P96" s="617"/>
      <c r="Q96" s="132"/>
      <c r="R96" s="258" t="s">
        <v>418</v>
      </c>
      <c r="S96" s="263"/>
      <c r="T96" s="263"/>
      <c r="U96" s="263"/>
      <c r="V96" s="263"/>
      <c r="W96" s="263"/>
      <c r="X96" s="258" t="s">
        <v>220</v>
      </c>
      <c r="Y96" s="266"/>
      <c r="Z96" s="205"/>
      <c r="AA96" s="205"/>
      <c r="AB96" s="205"/>
      <c r="AC96" s="205"/>
      <c r="AD96" s="205"/>
      <c r="AE96" s="205"/>
    </row>
    <row r="97" spans="1:39" s="172" customFormat="1" ht="22.5" customHeight="1" thickBot="1">
      <c r="A97" s="165">
        <v>10</v>
      </c>
      <c r="B97" s="658"/>
      <c r="C97" s="658"/>
      <c r="D97" s="342"/>
      <c r="E97" s="342"/>
      <c r="F97" s="231"/>
      <c r="G97" s="342"/>
      <c r="H97" s="342"/>
      <c r="I97" s="342"/>
      <c r="J97" s="342"/>
      <c r="K97" s="229"/>
      <c r="L97" s="670"/>
      <c r="M97" s="670"/>
      <c r="N97" s="670"/>
      <c r="O97" s="659"/>
      <c r="P97" s="660"/>
      <c r="Q97" s="132"/>
      <c r="R97" s="258" t="s">
        <v>419</v>
      </c>
      <c r="S97" s="263"/>
      <c r="T97" s="263"/>
      <c r="U97" s="263"/>
      <c r="V97" s="263"/>
      <c r="W97" s="263"/>
      <c r="X97" s="258" t="s">
        <v>222</v>
      </c>
      <c r="Y97" s="266"/>
      <c r="Z97" s="206"/>
      <c r="AA97" s="206"/>
      <c r="AB97" s="206"/>
      <c r="AC97" s="206"/>
      <c r="AD97" s="206"/>
      <c r="AE97" s="206"/>
    </row>
    <row r="98" spans="1:39" s="172" customFormat="1" ht="12" customHeight="1">
      <c r="A98" s="225"/>
      <c r="B98" s="26"/>
      <c r="C98" s="26"/>
      <c r="D98" s="190"/>
      <c r="E98" s="190"/>
      <c r="F98" s="190"/>
      <c r="G98" s="190"/>
      <c r="H98" s="158"/>
      <c r="I98" s="220"/>
      <c r="J98" s="5"/>
      <c r="K98" s="3"/>
      <c r="L98" s="5"/>
      <c r="M98" s="3"/>
      <c r="N98" s="3"/>
      <c r="O98" s="3"/>
      <c r="P98" s="3"/>
      <c r="R98" s="257"/>
      <c r="S98" s="257"/>
      <c r="T98" s="257"/>
      <c r="U98" s="257"/>
      <c r="V98" s="257"/>
      <c r="W98" s="257"/>
      <c r="X98" s="258" t="s">
        <v>223</v>
      </c>
      <c r="Y98" s="266"/>
    </row>
    <row r="99" spans="1:39" s="172" customFormat="1" ht="28.5" customHeight="1">
      <c r="A99" s="5" t="s">
        <v>494</v>
      </c>
      <c r="B99" s="26"/>
      <c r="C99" s="26"/>
      <c r="D99" s="190"/>
      <c r="E99" s="190"/>
      <c r="F99" s="190"/>
      <c r="G99" s="190"/>
      <c r="H99" s="158"/>
      <c r="I99" s="220"/>
      <c r="J99" s="5"/>
      <c r="K99" s="3"/>
      <c r="L99" s="5"/>
      <c r="M99" s="3"/>
      <c r="N99" s="3"/>
      <c r="O99" s="3"/>
      <c r="P99" s="3"/>
      <c r="X99" s="258" t="s">
        <v>474</v>
      </c>
    </row>
    <row r="100" spans="1:39" s="172" customFormat="1" ht="20.25" customHeight="1" thickBot="1">
      <c r="A100" s="678" t="s">
        <v>463</v>
      </c>
      <c r="B100" s="678"/>
      <c r="C100" s="678"/>
      <c r="D100" s="678"/>
      <c r="E100" s="678"/>
      <c r="F100" s="678"/>
      <c r="G100" s="678"/>
      <c r="H100" s="678"/>
      <c r="I100" s="678"/>
      <c r="J100" s="678"/>
      <c r="K100" s="678"/>
      <c r="L100" s="678"/>
      <c r="M100" s="678"/>
      <c r="N100" s="678"/>
      <c r="O100" s="678"/>
      <c r="P100" s="678"/>
      <c r="X100" s="258" t="s">
        <v>473</v>
      </c>
    </row>
    <row r="101" spans="1:39" s="172" customFormat="1" ht="20.25" customHeight="1">
      <c r="A101" s="672"/>
      <c r="B101" s="673"/>
      <c r="C101" s="673"/>
      <c r="D101" s="673"/>
      <c r="E101" s="673"/>
      <c r="F101" s="673"/>
      <c r="G101" s="673"/>
      <c r="H101" s="673"/>
      <c r="I101" s="673"/>
      <c r="J101" s="673"/>
      <c r="K101" s="673"/>
      <c r="L101" s="673"/>
      <c r="M101" s="673"/>
      <c r="N101" s="673"/>
      <c r="O101" s="673"/>
      <c r="P101" s="674"/>
      <c r="X101" s="258" t="s">
        <v>114</v>
      </c>
    </row>
    <row r="102" spans="1:39" s="172" customFormat="1" ht="20.25" customHeight="1">
      <c r="A102" s="672"/>
      <c r="B102" s="673"/>
      <c r="C102" s="673"/>
      <c r="D102" s="673"/>
      <c r="E102" s="673"/>
      <c r="F102" s="673"/>
      <c r="G102" s="673"/>
      <c r="H102" s="673"/>
      <c r="I102" s="673"/>
      <c r="J102" s="673"/>
      <c r="K102" s="673"/>
      <c r="L102" s="673"/>
      <c r="M102" s="673"/>
      <c r="N102" s="673"/>
      <c r="O102" s="673"/>
      <c r="P102" s="674"/>
      <c r="X102" s="272" t="s">
        <v>157</v>
      </c>
    </row>
    <row r="103" spans="1:39" s="172" customFormat="1" ht="20.25" customHeight="1" thickBot="1">
      <c r="A103" s="675"/>
      <c r="B103" s="676"/>
      <c r="C103" s="676"/>
      <c r="D103" s="676"/>
      <c r="E103" s="676"/>
      <c r="F103" s="676"/>
      <c r="G103" s="676"/>
      <c r="H103" s="676"/>
      <c r="I103" s="676"/>
      <c r="J103" s="676"/>
      <c r="K103" s="676"/>
      <c r="L103" s="676"/>
      <c r="M103" s="676"/>
      <c r="N103" s="676"/>
      <c r="O103" s="676"/>
      <c r="P103" s="677"/>
    </row>
    <row r="104" spans="1:39" s="172" customFormat="1" ht="20.25" customHeight="1">
      <c r="A104" s="225"/>
      <c r="B104" s="26"/>
      <c r="C104" s="26"/>
      <c r="D104" s="190"/>
      <c r="E104" s="190"/>
      <c r="F104" s="190"/>
      <c r="G104" s="190"/>
      <c r="H104" s="158"/>
      <c r="I104" s="220"/>
      <c r="J104" s="5"/>
      <c r="K104" s="3"/>
      <c r="L104" s="5"/>
      <c r="M104" s="3"/>
      <c r="N104" s="3"/>
      <c r="O104" s="3"/>
      <c r="P104" s="3"/>
      <c r="X104" s="671" t="s">
        <v>476</v>
      </c>
      <c r="Y104" s="671"/>
      <c r="Z104" s="273"/>
      <c r="AA104" s="273"/>
      <c r="AB104" s="273"/>
      <c r="AC104" s="273"/>
      <c r="AD104" s="273"/>
      <c r="AE104" s="273"/>
      <c r="AF104" s="273"/>
      <c r="AG104" s="273"/>
      <c r="AH104" s="273"/>
      <c r="AI104" s="273"/>
      <c r="AJ104" s="273"/>
      <c r="AK104" s="273"/>
      <c r="AL104" s="273"/>
      <c r="AM104" s="273"/>
    </row>
    <row r="105" spans="1:39" ht="9.65" customHeight="1">
      <c r="A105" s="3"/>
      <c r="B105" s="3"/>
      <c r="C105" s="3"/>
      <c r="D105" s="3"/>
      <c r="E105" s="3"/>
      <c r="F105" s="3"/>
      <c r="G105" s="3"/>
      <c r="H105" s="3"/>
      <c r="I105" s="3"/>
      <c r="J105" s="3"/>
      <c r="K105" s="3"/>
      <c r="L105" s="3"/>
      <c r="M105" s="3"/>
      <c r="N105" s="3"/>
      <c r="O105" s="3"/>
      <c r="P105" s="3"/>
      <c r="X105" s="274"/>
      <c r="Y105" s="274"/>
    </row>
    <row r="106" spans="1:39" ht="30" customHeight="1">
      <c r="A106" s="366" t="s">
        <v>456</v>
      </c>
      <c r="B106" s="366"/>
      <c r="C106" s="366"/>
      <c r="D106" s="366"/>
      <c r="E106" s="366"/>
      <c r="F106" s="366"/>
      <c r="G106" s="366"/>
      <c r="H106" s="366"/>
      <c r="I106" s="366"/>
      <c r="J106" s="366"/>
      <c r="K106" s="366"/>
      <c r="L106" s="366"/>
      <c r="M106" s="366"/>
      <c r="N106" s="366"/>
      <c r="O106" s="366"/>
      <c r="P106" s="366"/>
      <c r="X106" s="671" t="s">
        <v>475</v>
      </c>
      <c r="Y106" s="671"/>
      <c r="Z106" s="273"/>
      <c r="AA106" s="273"/>
      <c r="AB106" s="273"/>
      <c r="AC106" s="273"/>
      <c r="AD106" s="273"/>
      <c r="AE106" s="273"/>
      <c r="AF106" s="273"/>
      <c r="AG106" s="273"/>
      <c r="AH106" s="273"/>
      <c r="AI106" s="273"/>
      <c r="AJ106" s="273"/>
      <c r="AK106" s="273"/>
      <c r="AL106" s="273"/>
      <c r="AM106" s="273"/>
    </row>
    <row r="107" spans="1:39" ht="30" customHeight="1">
      <c r="A107" s="346" t="s">
        <v>325</v>
      </c>
      <c r="B107" s="346"/>
      <c r="C107" s="346"/>
      <c r="D107" s="346"/>
      <c r="E107" s="346"/>
      <c r="F107" s="346"/>
      <c r="G107" s="346"/>
      <c r="H107" s="346"/>
      <c r="I107" s="346"/>
      <c r="J107" s="346"/>
      <c r="K107" s="346"/>
      <c r="L107" s="346"/>
      <c r="M107" s="346"/>
      <c r="N107" s="346"/>
      <c r="O107" s="346"/>
      <c r="P107" s="346"/>
    </row>
    <row r="108" spans="1:39" s="172" customFormat="1" ht="30" customHeight="1" thickBot="1">
      <c r="A108" s="153" t="s">
        <v>326</v>
      </c>
      <c r="B108" s="153"/>
      <c r="C108" s="153"/>
      <c r="D108" s="153"/>
      <c r="E108" s="153"/>
      <c r="F108" s="153"/>
      <c r="G108" s="153"/>
      <c r="H108" s="153"/>
      <c r="I108" s="153"/>
      <c r="J108" s="153"/>
      <c r="K108" s="153"/>
      <c r="L108" s="153"/>
      <c r="M108" s="153"/>
      <c r="N108" s="153"/>
      <c r="O108" s="153"/>
      <c r="P108" s="153"/>
    </row>
    <row r="109" spans="1:39" s="172" customFormat="1" ht="20.149999999999999" customHeight="1" thickBot="1">
      <c r="A109" s="347" t="s">
        <v>327</v>
      </c>
      <c r="B109" s="348"/>
      <c r="C109" s="348"/>
      <c r="D109" s="348"/>
      <c r="E109" s="349"/>
      <c r="F109" s="350"/>
      <c r="G109" s="158" t="s">
        <v>328</v>
      </c>
      <c r="H109" s="134" t="str">
        <f>IF(E109="","いない場合はゼロを入力してください","")</f>
        <v>いない場合はゼロを入力してください</v>
      </c>
      <c r="I109" s="3"/>
      <c r="J109" s="3"/>
      <c r="K109" s="3"/>
      <c r="L109" s="3"/>
      <c r="M109" s="3"/>
      <c r="N109" s="3"/>
      <c r="O109" s="3"/>
      <c r="P109" s="3"/>
    </row>
    <row r="110" spans="1:39" s="172" customFormat="1" ht="21" customHeight="1">
      <c r="A110" s="3" t="s">
        <v>329</v>
      </c>
      <c r="B110" s="150"/>
      <c r="C110" s="150"/>
      <c r="D110" s="150"/>
      <c r="E110" s="150"/>
      <c r="F110" s="150"/>
      <c r="G110" s="3"/>
      <c r="H110" s="3"/>
      <c r="I110" s="3"/>
      <c r="J110" s="3"/>
      <c r="K110" s="3"/>
      <c r="L110" s="3"/>
      <c r="M110" s="3"/>
      <c r="N110" s="3"/>
      <c r="O110" s="3"/>
      <c r="P110" s="3"/>
    </row>
    <row r="111" spans="1:39" s="172" customFormat="1" ht="21" customHeight="1">
      <c r="A111" s="170" t="s">
        <v>330</v>
      </c>
      <c r="B111" s="150"/>
      <c r="C111" s="150"/>
      <c r="D111" s="150"/>
      <c r="E111" s="150"/>
      <c r="F111" s="150"/>
      <c r="G111" s="3"/>
      <c r="H111" s="3"/>
      <c r="I111" s="3"/>
      <c r="J111" s="3"/>
      <c r="K111" s="3"/>
      <c r="L111" s="3"/>
      <c r="M111" s="3"/>
      <c r="N111" s="3"/>
      <c r="O111" s="3"/>
      <c r="P111" s="3"/>
    </row>
    <row r="112" spans="1:39" s="172" customFormat="1" ht="6.65" customHeight="1">
      <c r="A112" s="3"/>
      <c r="B112" s="150"/>
      <c r="C112" s="150"/>
      <c r="D112" s="150"/>
      <c r="E112" s="150"/>
      <c r="F112" s="150"/>
      <c r="G112" s="3"/>
      <c r="H112" s="3"/>
      <c r="I112" s="3"/>
      <c r="J112" s="3"/>
      <c r="K112" s="3"/>
      <c r="L112" s="3"/>
      <c r="M112" s="3"/>
      <c r="N112" s="3"/>
      <c r="O112" s="3"/>
      <c r="P112" s="3"/>
    </row>
    <row r="113" spans="1:16" s="172" customFormat="1" ht="30" customHeight="1" thickBot="1">
      <c r="A113" s="153" t="s">
        <v>331</v>
      </c>
      <c r="B113" s="153"/>
      <c r="C113" s="153"/>
      <c r="D113" s="153"/>
      <c r="E113" s="153"/>
      <c r="F113" s="153"/>
      <c r="G113" s="153"/>
      <c r="H113" s="153"/>
      <c r="I113" s="153"/>
      <c r="J113" s="153"/>
      <c r="K113" s="153"/>
      <c r="L113" s="153"/>
      <c r="M113" s="153"/>
      <c r="N113" s="153"/>
      <c r="O113" s="153"/>
      <c r="P113" s="153"/>
    </row>
    <row r="114" spans="1:16" s="2" customFormat="1" ht="18.649999999999999" customHeight="1">
      <c r="A114" s="435" t="s">
        <v>332</v>
      </c>
      <c r="B114" s="436"/>
      <c r="C114" s="436"/>
      <c r="D114" s="436"/>
      <c r="E114" s="436"/>
      <c r="F114" s="436"/>
      <c r="G114" s="436"/>
      <c r="H114" s="437"/>
      <c r="I114" s="438" t="s">
        <v>333</v>
      </c>
      <c r="J114" s="436"/>
      <c r="K114" s="436"/>
      <c r="L114" s="436"/>
      <c r="M114" s="436"/>
      <c r="N114" s="436"/>
      <c r="O114" s="436"/>
      <c r="P114" s="439"/>
    </row>
    <row r="115" spans="1:16" s="2" customFormat="1" ht="19" customHeight="1">
      <c r="A115" s="375" t="s">
        <v>334</v>
      </c>
      <c r="B115" s="374"/>
      <c r="C115" s="374"/>
      <c r="D115" s="111"/>
      <c r="E115" s="374" t="s">
        <v>335</v>
      </c>
      <c r="F115" s="374"/>
      <c r="G115" s="374"/>
      <c r="H115" s="113"/>
      <c r="I115" s="440" t="s">
        <v>336</v>
      </c>
      <c r="J115" s="368"/>
      <c r="K115" s="373"/>
      <c r="L115" s="114"/>
      <c r="M115" s="441" t="s">
        <v>337</v>
      </c>
      <c r="N115" s="441"/>
      <c r="O115" s="441"/>
      <c r="P115" s="115"/>
    </row>
    <row r="116" spans="1:16" s="2" customFormat="1" ht="19" customHeight="1">
      <c r="A116" s="375" t="s">
        <v>338</v>
      </c>
      <c r="B116" s="374"/>
      <c r="C116" s="374"/>
      <c r="D116" s="111"/>
      <c r="E116" s="374" t="s">
        <v>339</v>
      </c>
      <c r="F116" s="374"/>
      <c r="G116" s="374"/>
      <c r="H116" s="113"/>
      <c r="I116" s="440" t="s">
        <v>340</v>
      </c>
      <c r="J116" s="368"/>
      <c r="K116" s="373"/>
      <c r="L116" s="114"/>
      <c r="M116" s="441" t="s">
        <v>339</v>
      </c>
      <c r="N116" s="441"/>
      <c r="O116" s="441"/>
      <c r="P116" s="115"/>
    </row>
    <row r="117" spans="1:16" s="2" customFormat="1" ht="19" customHeight="1">
      <c r="A117" s="375" t="s">
        <v>340</v>
      </c>
      <c r="B117" s="374"/>
      <c r="C117" s="374"/>
      <c r="D117" s="111"/>
      <c r="E117" s="374" t="s">
        <v>341</v>
      </c>
      <c r="F117" s="374"/>
      <c r="G117" s="374"/>
      <c r="H117" s="113"/>
      <c r="I117" s="440" t="s">
        <v>342</v>
      </c>
      <c r="J117" s="368"/>
      <c r="K117" s="373"/>
      <c r="L117" s="114"/>
      <c r="M117" s="441" t="s">
        <v>341</v>
      </c>
      <c r="N117" s="441"/>
      <c r="O117" s="441"/>
      <c r="P117" s="115"/>
    </row>
    <row r="118" spans="1:16" s="2" customFormat="1" ht="19" customHeight="1">
      <c r="A118" s="375" t="s">
        <v>342</v>
      </c>
      <c r="B118" s="374"/>
      <c r="C118" s="374"/>
      <c r="D118" s="111"/>
      <c r="E118" s="151" t="s">
        <v>343</v>
      </c>
      <c r="F118" s="151"/>
      <c r="G118" s="151"/>
      <c r="H118" s="113"/>
      <c r="I118" s="440" t="s">
        <v>344</v>
      </c>
      <c r="J118" s="368"/>
      <c r="K118" s="373"/>
      <c r="L118" s="114"/>
      <c r="M118" s="441" t="s">
        <v>345</v>
      </c>
      <c r="N118" s="441"/>
      <c r="O118" s="441"/>
      <c r="P118" s="115"/>
    </row>
    <row r="119" spans="1:16" s="2" customFormat="1" ht="19" customHeight="1">
      <c r="A119" s="375" t="s">
        <v>346</v>
      </c>
      <c r="B119" s="374"/>
      <c r="C119" s="374"/>
      <c r="D119" s="111"/>
      <c r="E119" s="374" t="s">
        <v>347</v>
      </c>
      <c r="F119" s="374"/>
      <c r="G119" s="374"/>
      <c r="H119" s="113"/>
      <c r="I119" s="440" t="s">
        <v>348</v>
      </c>
      <c r="J119" s="368"/>
      <c r="K119" s="373"/>
      <c r="L119" s="114"/>
      <c r="M119" s="441" t="s">
        <v>349</v>
      </c>
      <c r="N119" s="441"/>
      <c r="O119" s="441"/>
      <c r="P119" s="115"/>
    </row>
    <row r="120" spans="1:16" s="2" customFormat="1" ht="19" customHeight="1">
      <c r="A120" s="375" t="s">
        <v>350</v>
      </c>
      <c r="B120" s="374"/>
      <c r="C120" s="374"/>
      <c r="D120" s="111"/>
      <c r="E120" s="374" t="s">
        <v>351</v>
      </c>
      <c r="F120" s="374"/>
      <c r="G120" s="374"/>
      <c r="H120" s="113"/>
      <c r="I120" s="440" t="s">
        <v>352</v>
      </c>
      <c r="J120" s="368"/>
      <c r="K120" s="373"/>
      <c r="L120" s="114"/>
      <c r="M120" s="441" t="s">
        <v>351</v>
      </c>
      <c r="N120" s="441"/>
      <c r="O120" s="441"/>
      <c r="P120" s="115"/>
    </row>
    <row r="121" spans="1:16" s="2" customFormat="1" ht="19" customHeight="1">
      <c r="A121" s="375" t="s">
        <v>353</v>
      </c>
      <c r="B121" s="374"/>
      <c r="C121" s="374"/>
      <c r="D121" s="111"/>
      <c r="E121" s="374" t="s">
        <v>354</v>
      </c>
      <c r="F121" s="374"/>
      <c r="G121" s="374"/>
      <c r="H121" s="113"/>
      <c r="I121" s="440" t="s">
        <v>355</v>
      </c>
      <c r="J121" s="368"/>
      <c r="K121" s="373"/>
      <c r="L121" s="114"/>
      <c r="M121" s="441" t="s">
        <v>356</v>
      </c>
      <c r="N121" s="441"/>
      <c r="O121" s="441"/>
      <c r="P121" s="115"/>
    </row>
    <row r="122" spans="1:16" s="2" customFormat="1" ht="19" customHeight="1">
      <c r="A122" s="375" t="s">
        <v>352</v>
      </c>
      <c r="B122" s="374"/>
      <c r="C122" s="374"/>
      <c r="D122" s="111"/>
      <c r="E122" s="374" t="s">
        <v>357</v>
      </c>
      <c r="F122" s="374"/>
      <c r="G122" s="374"/>
      <c r="H122" s="113"/>
      <c r="I122" s="440" t="s">
        <v>358</v>
      </c>
      <c r="J122" s="368"/>
      <c r="K122" s="373"/>
      <c r="L122" s="114"/>
      <c r="M122" s="441" t="s">
        <v>357</v>
      </c>
      <c r="N122" s="441"/>
      <c r="O122" s="441"/>
      <c r="P122" s="115"/>
    </row>
    <row r="123" spans="1:16" s="2" customFormat="1" ht="19" customHeight="1">
      <c r="A123" s="375" t="s">
        <v>355</v>
      </c>
      <c r="B123" s="374"/>
      <c r="C123" s="374"/>
      <c r="D123" s="111"/>
      <c r="E123" s="374" t="s">
        <v>359</v>
      </c>
      <c r="F123" s="374"/>
      <c r="G123" s="374"/>
      <c r="H123" s="113"/>
      <c r="I123" s="440" t="s">
        <v>360</v>
      </c>
      <c r="J123" s="368"/>
      <c r="K123" s="373"/>
      <c r="L123" s="114"/>
      <c r="M123" s="441" t="s">
        <v>361</v>
      </c>
      <c r="N123" s="441"/>
      <c r="O123" s="441"/>
      <c r="P123" s="116"/>
    </row>
    <row r="124" spans="1:16" s="2" customFormat="1" ht="19" customHeight="1">
      <c r="A124" s="375" t="s">
        <v>362</v>
      </c>
      <c r="B124" s="374"/>
      <c r="C124" s="374"/>
      <c r="D124" s="111"/>
      <c r="E124" s="374" t="s">
        <v>363</v>
      </c>
      <c r="F124" s="374"/>
      <c r="G124" s="374"/>
      <c r="H124" s="113"/>
      <c r="I124" s="459"/>
      <c r="J124" s="460"/>
      <c r="K124" s="461"/>
      <c r="L124" s="465"/>
      <c r="M124" s="441" t="s">
        <v>364</v>
      </c>
      <c r="N124" s="441"/>
      <c r="O124" s="441"/>
      <c r="P124" s="116"/>
    </row>
    <row r="125" spans="1:16" s="2" customFormat="1" ht="19" customHeight="1" thickBot="1">
      <c r="A125" s="380" t="s">
        <v>360</v>
      </c>
      <c r="B125" s="381"/>
      <c r="C125" s="381"/>
      <c r="D125" s="112"/>
      <c r="E125" s="472"/>
      <c r="F125" s="472"/>
      <c r="G125" s="472"/>
      <c r="H125" s="15"/>
      <c r="I125" s="462"/>
      <c r="J125" s="463"/>
      <c r="K125" s="464"/>
      <c r="L125" s="466"/>
      <c r="M125" s="445"/>
      <c r="N125" s="445"/>
      <c r="O125" s="445"/>
      <c r="P125" s="14"/>
    </row>
    <row r="126" spans="1:16" s="2" customFormat="1" ht="8.5" customHeight="1" thickBot="1">
      <c r="A126" s="21"/>
      <c r="B126" s="21"/>
      <c r="C126" s="21"/>
      <c r="D126" s="8"/>
      <c r="E126" s="21"/>
      <c r="F126" s="21"/>
      <c r="G126" s="21"/>
      <c r="H126" s="9"/>
      <c r="I126" s="21"/>
      <c r="J126" s="21"/>
      <c r="K126" s="21"/>
      <c r="L126" s="9"/>
      <c r="M126" s="154"/>
      <c r="N126" s="154"/>
      <c r="O126" s="154"/>
      <c r="P126" s="9"/>
    </row>
    <row r="127" spans="1:16" s="2" customFormat="1" ht="19" customHeight="1" thickBot="1">
      <c r="A127" s="470" t="s">
        <v>365</v>
      </c>
      <c r="B127" s="471"/>
      <c r="C127" s="471"/>
      <c r="D127" s="117"/>
      <c r="E127" s="420"/>
      <c r="F127" s="420"/>
      <c r="G127" s="420"/>
      <c r="H127" s="10"/>
      <c r="I127" s="10"/>
      <c r="J127" s="10"/>
      <c r="K127" s="10"/>
      <c r="L127" s="10"/>
      <c r="M127" s="10"/>
      <c r="N127" s="10"/>
      <c r="O127" s="10"/>
      <c r="P127" s="10"/>
    </row>
    <row r="128" spans="1:16" s="75" customFormat="1" ht="9.65" customHeight="1">
      <c r="A128" s="71"/>
      <c r="B128" s="71"/>
      <c r="C128" s="71"/>
      <c r="D128" s="72"/>
      <c r="E128" s="73"/>
      <c r="F128" s="73"/>
      <c r="G128" s="73"/>
      <c r="H128" s="74"/>
      <c r="I128" s="74"/>
      <c r="J128" s="74"/>
      <c r="K128" s="74"/>
      <c r="L128" s="74"/>
      <c r="M128" s="74"/>
      <c r="N128" s="74"/>
      <c r="O128" s="74"/>
      <c r="P128" s="74"/>
    </row>
    <row r="129" spans="1:16" s="2" customFormat="1" ht="41.15" customHeight="1" thickBot="1">
      <c r="A129" s="365" t="s">
        <v>131</v>
      </c>
      <c r="B129" s="365"/>
      <c r="C129" s="365"/>
      <c r="D129" s="365"/>
      <c r="E129" s="365"/>
      <c r="F129" s="365"/>
      <c r="G129" s="365"/>
      <c r="H129" s="365"/>
      <c r="I129" s="365"/>
      <c r="J129" s="365"/>
      <c r="K129" s="365"/>
      <c r="L129" s="365"/>
      <c r="M129" s="365"/>
      <c r="N129" s="365"/>
      <c r="O129" s="365"/>
      <c r="P129" s="365"/>
    </row>
    <row r="130" spans="1:16" s="2" customFormat="1" ht="19" customHeight="1">
      <c r="A130" s="108"/>
      <c r="B130" s="421" t="s">
        <v>142</v>
      </c>
      <c r="C130" s="422"/>
      <c r="D130" s="422"/>
      <c r="E130" s="422"/>
      <c r="F130" s="422"/>
      <c r="G130" s="422"/>
      <c r="H130" s="422"/>
      <c r="I130" s="423"/>
      <c r="J130" s="10"/>
      <c r="K130" s="104"/>
      <c r="L130" s="104"/>
      <c r="M130" s="104"/>
      <c r="N130" s="104"/>
      <c r="O130" s="104"/>
      <c r="P130" s="104"/>
    </row>
    <row r="131" spans="1:16" s="2" customFormat="1" ht="19" customHeight="1">
      <c r="A131" s="109"/>
      <c r="B131" s="367" t="s">
        <v>137</v>
      </c>
      <c r="C131" s="368"/>
      <c r="D131" s="368"/>
      <c r="E131" s="368"/>
      <c r="F131" s="368"/>
      <c r="G131" s="368"/>
      <c r="H131" s="368"/>
      <c r="I131" s="369"/>
      <c r="J131" s="10"/>
      <c r="K131" s="104"/>
      <c r="L131" s="104"/>
      <c r="M131" s="104"/>
      <c r="N131" s="104"/>
      <c r="O131" s="104"/>
      <c r="P131" s="104"/>
    </row>
    <row r="132" spans="1:16" s="2" customFormat="1" ht="19" customHeight="1">
      <c r="A132" s="109"/>
      <c r="B132" s="367" t="s">
        <v>139</v>
      </c>
      <c r="C132" s="368"/>
      <c r="D132" s="368"/>
      <c r="E132" s="368"/>
      <c r="F132" s="368"/>
      <c r="G132" s="368"/>
      <c r="H132" s="368"/>
      <c r="I132" s="369"/>
      <c r="J132" s="10"/>
      <c r="K132" s="104"/>
      <c r="L132" s="104"/>
      <c r="M132" s="104"/>
      <c r="N132" s="104"/>
      <c r="O132" s="104"/>
      <c r="P132" s="104"/>
    </row>
    <row r="133" spans="1:16" s="2" customFormat="1" ht="19" customHeight="1">
      <c r="A133" s="109"/>
      <c r="B133" s="367" t="s">
        <v>141</v>
      </c>
      <c r="C133" s="368"/>
      <c r="D133" s="368"/>
      <c r="E133" s="368"/>
      <c r="F133" s="368"/>
      <c r="G133" s="368"/>
      <c r="H133" s="368"/>
      <c r="I133" s="369"/>
      <c r="J133" s="10"/>
      <c r="K133" s="10"/>
      <c r="L133" s="10"/>
      <c r="M133" s="10"/>
      <c r="N133" s="10"/>
      <c r="O133" s="10"/>
      <c r="P133" s="10"/>
    </row>
    <row r="134" spans="1:16" s="2" customFormat="1" ht="19" customHeight="1">
      <c r="A134" s="109"/>
      <c r="B134" s="367" t="s">
        <v>144</v>
      </c>
      <c r="C134" s="368"/>
      <c r="D134" s="368"/>
      <c r="E134" s="368"/>
      <c r="F134" s="368"/>
      <c r="G134" s="368"/>
      <c r="H134" s="368"/>
      <c r="I134" s="369"/>
      <c r="J134" s="10"/>
      <c r="K134" s="10"/>
      <c r="L134" s="10"/>
      <c r="M134" s="10"/>
      <c r="N134" s="10"/>
      <c r="O134" s="10"/>
      <c r="P134" s="10"/>
    </row>
    <row r="135" spans="1:16" s="2" customFormat="1" ht="19" customHeight="1">
      <c r="A135" s="109"/>
      <c r="B135" s="367" t="s">
        <v>138</v>
      </c>
      <c r="C135" s="368"/>
      <c r="D135" s="368"/>
      <c r="E135" s="368"/>
      <c r="F135" s="368"/>
      <c r="G135" s="368"/>
      <c r="H135" s="368"/>
      <c r="I135" s="369"/>
      <c r="J135" s="10"/>
      <c r="K135" s="10"/>
      <c r="L135" s="10"/>
      <c r="M135" s="10"/>
      <c r="N135" s="10"/>
      <c r="O135" s="10"/>
      <c r="P135" s="10"/>
    </row>
    <row r="136" spans="1:16" s="2" customFormat="1" ht="19" customHeight="1">
      <c r="A136" s="109"/>
      <c r="B136" s="367" t="s">
        <v>140</v>
      </c>
      <c r="C136" s="368"/>
      <c r="D136" s="368"/>
      <c r="E136" s="368"/>
      <c r="F136" s="368"/>
      <c r="G136" s="368"/>
      <c r="H136" s="368"/>
      <c r="I136" s="369"/>
      <c r="J136" s="10"/>
      <c r="K136" s="10"/>
      <c r="L136" s="10"/>
      <c r="M136" s="10"/>
      <c r="N136" s="10"/>
      <c r="O136" s="10"/>
      <c r="P136" s="10"/>
    </row>
    <row r="137" spans="1:16" s="2" customFormat="1" ht="19" customHeight="1" thickBot="1">
      <c r="A137" s="110"/>
      <c r="B137" s="382" t="s">
        <v>129</v>
      </c>
      <c r="C137" s="378"/>
      <c r="D137" s="473"/>
      <c r="E137" s="473"/>
      <c r="F137" s="473"/>
      <c r="G137" s="473"/>
      <c r="H137" s="473"/>
      <c r="I137" s="76" t="s">
        <v>19</v>
      </c>
      <c r="J137" s="107" t="str">
        <f>IF(OR(AND(A137="",D137=""),AND(A137&lt;&gt;"", D137&lt;&gt;"")),"","チェックを入れた場合はその内容を記載してください")</f>
        <v/>
      </c>
      <c r="K137" s="10"/>
      <c r="L137" s="173"/>
      <c r="M137" s="10"/>
      <c r="N137" s="10"/>
      <c r="O137" s="10"/>
      <c r="P137" s="10"/>
    </row>
    <row r="138" spans="1:16" ht="9.65" customHeight="1">
      <c r="A138" s="19"/>
      <c r="B138" s="7"/>
      <c r="C138" s="7"/>
      <c r="D138" s="7"/>
      <c r="E138" s="7"/>
      <c r="F138" s="3"/>
      <c r="G138" s="3"/>
      <c r="H138" s="3"/>
      <c r="I138" s="3"/>
      <c r="J138" s="3"/>
      <c r="K138" s="3"/>
      <c r="L138" s="3"/>
      <c r="M138" s="3"/>
      <c r="N138" s="3"/>
      <c r="O138" s="3"/>
      <c r="P138" s="3"/>
    </row>
    <row r="139" spans="1:16" s="69" customFormat="1" ht="30" customHeight="1">
      <c r="A139" s="69" t="s">
        <v>130</v>
      </c>
    </row>
    <row r="140" spans="1:16" ht="22.5" customHeight="1" thickBot="1">
      <c r="A140" s="682" t="s">
        <v>313</v>
      </c>
      <c r="B140" s="682"/>
      <c r="C140" s="682"/>
      <c r="D140" s="682"/>
      <c r="E140" s="682"/>
      <c r="F140" s="682"/>
      <c r="G140" s="682"/>
      <c r="H140" s="682"/>
      <c r="I140" s="682"/>
      <c r="J140" s="220" t="str">
        <f>IF(COUNTIF(A141:A143,"✓")=1,"","（どれか一つにチェック）")</f>
        <v>（どれか一つにチェック）</v>
      </c>
      <c r="K140" s="317"/>
      <c r="L140" s="317"/>
      <c r="M140" s="317"/>
      <c r="N140" s="317"/>
      <c r="O140" s="317"/>
      <c r="P140" s="317"/>
    </row>
    <row r="141" spans="1:16" ht="20.149999999999999" customHeight="1">
      <c r="A141" s="108"/>
      <c r="B141" s="467" t="s">
        <v>124</v>
      </c>
      <c r="C141" s="468"/>
      <c r="D141" s="468"/>
      <c r="E141" s="468"/>
      <c r="F141" s="468"/>
      <c r="G141" s="469"/>
      <c r="H141" s="39"/>
      <c r="I141" s="170" t="str">
        <f>IF(A141="✓","⇒（５）を回答してください","")</f>
        <v/>
      </c>
      <c r="J141" s="3"/>
      <c r="K141" s="3"/>
      <c r="L141" s="3"/>
      <c r="M141" s="3"/>
      <c r="N141" s="3"/>
      <c r="O141" s="3"/>
      <c r="P141" s="3"/>
    </row>
    <row r="142" spans="1:16" ht="20.149999999999999" customHeight="1">
      <c r="A142" s="118"/>
      <c r="B142" s="360" t="s">
        <v>122</v>
      </c>
      <c r="C142" s="360"/>
      <c r="D142" s="360"/>
      <c r="E142" s="360"/>
      <c r="F142" s="360"/>
      <c r="G142" s="361"/>
      <c r="H142" s="173"/>
      <c r="I142" s="679" t="str">
        <f>IF(A142="✓","⇒２　特定行為研修終了看護師について回答してください","")</f>
        <v/>
      </c>
      <c r="J142" s="679"/>
      <c r="K142" s="679"/>
      <c r="L142" s="679"/>
      <c r="M142" s="679"/>
      <c r="N142" s="679"/>
      <c r="O142" s="679"/>
      <c r="P142" s="679"/>
    </row>
    <row r="143" spans="1:16" ht="20.149999999999999" customHeight="1" thickBot="1">
      <c r="A143" s="110"/>
      <c r="B143" s="411" t="s">
        <v>101</v>
      </c>
      <c r="C143" s="412"/>
      <c r="D143" s="412"/>
      <c r="E143" s="412"/>
      <c r="F143" s="412"/>
      <c r="G143" s="413"/>
      <c r="H143" s="39"/>
      <c r="I143" s="170" t="str">
        <f>IF(A143="✓","⇒（６）を回答してください","")</f>
        <v/>
      </c>
      <c r="J143" s="3"/>
      <c r="K143" s="3"/>
      <c r="L143" s="3"/>
      <c r="M143" s="3"/>
      <c r="N143" s="3"/>
      <c r="O143" s="3"/>
      <c r="P143" s="3"/>
    </row>
    <row r="144" spans="1:16" ht="9.65" customHeight="1">
      <c r="A144" s="68"/>
      <c r="B144" s="7"/>
      <c r="C144" s="7"/>
      <c r="D144" s="7"/>
      <c r="E144" s="7"/>
      <c r="F144" s="3"/>
      <c r="G144" s="3"/>
      <c r="H144" s="3"/>
      <c r="I144" s="3"/>
      <c r="J144" s="3"/>
      <c r="K144" s="3"/>
      <c r="L144" s="3"/>
      <c r="M144" s="3"/>
      <c r="N144" s="3"/>
      <c r="O144" s="3"/>
      <c r="P144" s="3"/>
    </row>
    <row r="145" spans="1:16" s="145" customFormat="1" ht="30" customHeight="1">
      <c r="A145" s="145" t="s">
        <v>309</v>
      </c>
    </row>
    <row r="146" spans="1:16" ht="18.5" thickBot="1">
      <c r="A146" s="7" t="s">
        <v>310</v>
      </c>
      <c r="B146" s="7"/>
      <c r="C146" s="7"/>
      <c r="D146" s="7"/>
      <c r="E146" s="7"/>
      <c r="F146" s="3"/>
      <c r="G146" s="3"/>
      <c r="H146" s="3"/>
      <c r="I146" s="3"/>
      <c r="J146" s="3"/>
      <c r="K146" s="3"/>
      <c r="L146" s="3"/>
      <c r="M146" s="3"/>
      <c r="N146" s="3"/>
      <c r="O146" s="3"/>
      <c r="P146" s="3"/>
    </row>
    <row r="147" spans="1:16" ht="43" customHeight="1" thickBot="1">
      <c r="A147" s="414"/>
      <c r="B147" s="415"/>
      <c r="C147" s="415"/>
      <c r="D147" s="415"/>
      <c r="E147" s="415"/>
      <c r="F147" s="415"/>
      <c r="G147" s="415"/>
      <c r="H147" s="415"/>
      <c r="I147" s="415"/>
      <c r="J147" s="415"/>
      <c r="K147" s="415"/>
      <c r="L147" s="415"/>
      <c r="M147" s="415"/>
      <c r="N147" s="415"/>
      <c r="O147" s="415"/>
      <c r="P147" s="416"/>
    </row>
    <row r="148" spans="1:16" ht="9.65" customHeight="1">
      <c r="A148" s="62"/>
      <c r="B148" s="7"/>
      <c r="C148" s="7"/>
      <c r="D148" s="7"/>
      <c r="E148" s="7"/>
      <c r="F148" s="3"/>
      <c r="G148" s="3"/>
      <c r="H148" s="3"/>
      <c r="I148" s="3"/>
      <c r="J148" s="3"/>
      <c r="K148" s="3"/>
      <c r="L148" s="3"/>
      <c r="M148" s="3"/>
      <c r="N148" s="3"/>
      <c r="O148" s="3"/>
      <c r="P148" s="3"/>
    </row>
    <row r="149" spans="1:16" ht="30" customHeight="1" thickBot="1">
      <c r="A149" s="20" t="s">
        <v>311</v>
      </c>
      <c r="B149" s="20"/>
      <c r="C149" s="20"/>
      <c r="D149" s="20"/>
      <c r="E149" s="20"/>
      <c r="F149" s="20"/>
      <c r="G149" s="20"/>
      <c r="H149" s="20"/>
      <c r="I149" s="20"/>
      <c r="J149" s="20"/>
      <c r="K149" s="20"/>
      <c r="L149" s="20"/>
      <c r="M149" s="20"/>
      <c r="N149" s="20"/>
      <c r="O149" s="20"/>
      <c r="P149" s="20"/>
    </row>
    <row r="150" spans="1:16" ht="20.149999999999999" customHeight="1">
      <c r="A150" s="108"/>
      <c r="B150" s="407" t="s">
        <v>24</v>
      </c>
      <c r="C150" s="407"/>
      <c r="D150" s="407"/>
      <c r="E150" s="407"/>
      <c r="F150" s="407"/>
      <c r="G150" s="407"/>
      <c r="H150" s="407"/>
      <c r="I150" s="408"/>
      <c r="J150" s="3"/>
      <c r="K150" s="3"/>
      <c r="L150" s="3"/>
      <c r="M150" s="3"/>
      <c r="N150" s="3"/>
      <c r="O150" s="3"/>
      <c r="P150" s="3"/>
    </row>
    <row r="151" spans="1:16" ht="20.149999999999999" customHeight="1">
      <c r="A151" s="109"/>
      <c r="B151" s="360" t="s">
        <v>25</v>
      </c>
      <c r="C151" s="360"/>
      <c r="D151" s="360"/>
      <c r="E151" s="360"/>
      <c r="F151" s="360"/>
      <c r="G151" s="360"/>
      <c r="H151" s="360"/>
      <c r="I151" s="361"/>
      <c r="J151" s="3"/>
      <c r="K151" s="3"/>
      <c r="L151" s="3"/>
      <c r="M151" s="3"/>
      <c r="N151" s="3"/>
      <c r="O151" s="3"/>
      <c r="P151" s="3"/>
    </row>
    <row r="152" spans="1:16" ht="20.149999999999999" customHeight="1">
      <c r="A152" s="109"/>
      <c r="B152" s="360" t="s">
        <v>26</v>
      </c>
      <c r="C152" s="360"/>
      <c r="D152" s="360"/>
      <c r="E152" s="360"/>
      <c r="F152" s="360"/>
      <c r="G152" s="360"/>
      <c r="H152" s="360"/>
      <c r="I152" s="361"/>
      <c r="J152" s="3"/>
      <c r="K152" s="3"/>
      <c r="L152" s="3"/>
      <c r="M152" s="3"/>
      <c r="N152" s="3"/>
      <c r="O152" s="3"/>
      <c r="P152" s="3"/>
    </row>
    <row r="153" spans="1:16" ht="20.149999999999999" customHeight="1">
      <c r="A153" s="109"/>
      <c r="B153" s="360" t="s">
        <v>27</v>
      </c>
      <c r="C153" s="360"/>
      <c r="D153" s="360"/>
      <c r="E153" s="360"/>
      <c r="F153" s="360"/>
      <c r="G153" s="360"/>
      <c r="H153" s="360"/>
      <c r="I153" s="361"/>
      <c r="J153" s="3"/>
      <c r="K153" s="3"/>
      <c r="L153" s="3"/>
      <c r="M153" s="3"/>
      <c r="N153" s="3"/>
      <c r="O153" s="3"/>
      <c r="P153" s="3"/>
    </row>
    <row r="154" spans="1:16" ht="20.149999999999999" customHeight="1">
      <c r="A154" s="109"/>
      <c r="B154" s="360" t="s">
        <v>28</v>
      </c>
      <c r="C154" s="360"/>
      <c r="D154" s="360"/>
      <c r="E154" s="360"/>
      <c r="F154" s="360"/>
      <c r="G154" s="360"/>
      <c r="H154" s="360"/>
      <c r="I154" s="361"/>
      <c r="J154" s="3"/>
      <c r="K154" s="3"/>
      <c r="L154" s="3"/>
      <c r="M154" s="3"/>
      <c r="N154" s="3"/>
      <c r="O154" s="3"/>
      <c r="P154" s="3"/>
    </row>
    <row r="155" spans="1:16" ht="20.149999999999999" customHeight="1" thickBot="1">
      <c r="A155" s="110"/>
      <c r="B155" s="409" t="s">
        <v>23</v>
      </c>
      <c r="C155" s="411"/>
      <c r="D155" s="341"/>
      <c r="E155" s="342"/>
      <c r="F155" s="342"/>
      <c r="G155" s="342"/>
      <c r="H155" s="343"/>
      <c r="I155" s="23" t="s">
        <v>19</v>
      </c>
      <c r="J155" s="107" t="str">
        <f>IF(OR(AND(A155="",D155=""),AND(A155&lt;&gt;"", D155&lt;&gt;"")),"","チェックを入れた場合はその内容を記載してください")</f>
        <v/>
      </c>
      <c r="K155" s="3"/>
      <c r="L155" s="3"/>
      <c r="M155" s="3"/>
      <c r="N155" s="3"/>
      <c r="O155" s="3"/>
      <c r="P155" s="3"/>
    </row>
    <row r="156" spans="1:16" ht="12.65" customHeight="1">
      <c r="A156" s="19"/>
      <c r="B156" s="22"/>
      <c r="C156" s="22"/>
      <c r="D156" s="19"/>
      <c r="E156" s="19"/>
      <c r="F156" s="19"/>
      <c r="G156" s="19"/>
      <c r="H156" s="19"/>
      <c r="I156" s="19"/>
      <c r="J156" s="3"/>
      <c r="K156" s="3"/>
      <c r="L156" s="3"/>
      <c r="M156" s="3"/>
      <c r="N156" s="3"/>
      <c r="O156" s="3"/>
      <c r="P156" s="3"/>
    </row>
    <row r="157" spans="1:16" ht="30" customHeight="1">
      <c r="A157" s="346" t="s">
        <v>312</v>
      </c>
      <c r="B157" s="346"/>
      <c r="C157" s="346"/>
      <c r="D157" s="346"/>
      <c r="E157" s="346"/>
      <c r="F157" s="346"/>
      <c r="G157" s="346"/>
      <c r="H157" s="346"/>
      <c r="I157" s="346"/>
      <c r="J157" s="346"/>
      <c r="K157" s="346"/>
      <c r="L157" s="346"/>
      <c r="M157" s="346"/>
      <c r="N157" s="346"/>
      <c r="O157" s="346"/>
      <c r="P157" s="346"/>
    </row>
    <row r="158" spans="1:16" ht="30" customHeight="1" thickBot="1">
      <c r="A158" s="20" t="s">
        <v>366</v>
      </c>
      <c r="B158" s="20"/>
      <c r="C158" s="20"/>
      <c r="D158" s="20"/>
      <c r="E158" s="20"/>
      <c r="F158" s="20"/>
      <c r="G158" s="20"/>
      <c r="H158" s="20"/>
      <c r="I158" s="20"/>
      <c r="J158" s="20"/>
      <c r="K158" s="20"/>
      <c r="L158" s="20"/>
      <c r="M158" s="20"/>
      <c r="N158" s="20"/>
      <c r="O158" s="20"/>
      <c r="P158" s="20"/>
    </row>
    <row r="159" spans="1:16" ht="20.149999999999999" customHeight="1" thickBot="1">
      <c r="A159" s="347" t="s">
        <v>367</v>
      </c>
      <c r="B159" s="348"/>
      <c r="C159" s="348"/>
      <c r="D159" s="348"/>
      <c r="E159" s="458"/>
      <c r="F159" s="350"/>
      <c r="G159" s="3" t="s">
        <v>328</v>
      </c>
      <c r="H159" s="3" t="str">
        <f>IF(E159="","いない場合はゼロを入力してください","")</f>
        <v>いない場合はゼロを入力してください</v>
      </c>
      <c r="I159" s="3"/>
      <c r="J159" s="3"/>
      <c r="K159" s="3"/>
      <c r="L159" s="3"/>
      <c r="M159" s="3"/>
      <c r="N159" s="3"/>
      <c r="O159" s="3"/>
      <c r="P159" s="3"/>
    </row>
    <row r="160" spans="1:16" ht="21" customHeight="1">
      <c r="A160" s="3" t="s">
        <v>329</v>
      </c>
      <c r="B160" s="149"/>
      <c r="C160" s="149"/>
      <c r="D160" s="149"/>
      <c r="E160" s="149"/>
      <c r="F160" s="149"/>
      <c r="G160" s="3"/>
      <c r="H160" s="3"/>
      <c r="I160" s="3"/>
      <c r="J160" s="3"/>
      <c r="K160" s="3"/>
      <c r="L160" s="3"/>
      <c r="M160" s="3"/>
      <c r="N160" s="3"/>
      <c r="O160" s="3"/>
      <c r="P160" s="3"/>
    </row>
    <row r="161" spans="1:16" ht="21" customHeight="1">
      <c r="A161" s="170" t="s">
        <v>470</v>
      </c>
      <c r="B161" s="149"/>
      <c r="C161" s="149"/>
      <c r="D161" s="149"/>
      <c r="E161" s="149"/>
      <c r="F161" s="149"/>
      <c r="G161" s="3"/>
      <c r="H161" s="3"/>
      <c r="I161" s="3"/>
      <c r="J161" s="3"/>
      <c r="K161" s="3"/>
      <c r="L161" s="3"/>
      <c r="M161" s="3"/>
      <c r="N161" s="3"/>
      <c r="O161" s="3"/>
      <c r="P161" s="3"/>
    </row>
    <row r="162" spans="1:16" ht="9.65" customHeight="1">
      <c r="A162" s="6"/>
      <c r="B162" s="6"/>
      <c r="C162" s="6"/>
      <c r="D162" s="6"/>
      <c r="E162" s="19"/>
      <c r="F162" s="19"/>
      <c r="G162" s="3"/>
      <c r="H162" s="3"/>
      <c r="I162" s="3"/>
      <c r="J162" s="3"/>
      <c r="K162" s="3"/>
      <c r="L162" s="3"/>
      <c r="M162" s="3"/>
      <c r="N162" s="3"/>
      <c r="O162" s="3"/>
      <c r="P162" s="3"/>
    </row>
    <row r="163" spans="1:16" ht="30" customHeight="1" thickBot="1">
      <c r="A163" s="365" t="s">
        <v>368</v>
      </c>
      <c r="B163" s="365"/>
      <c r="C163" s="365"/>
      <c r="D163" s="365"/>
      <c r="E163" s="365"/>
      <c r="F163" s="365"/>
      <c r="G163" s="365"/>
      <c r="H163" s="365"/>
      <c r="I163" s="365"/>
      <c r="J163" s="365"/>
      <c r="K163" s="365"/>
      <c r="L163" s="365"/>
      <c r="M163" s="365"/>
      <c r="N163" s="365"/>
      <c r="O163" s="365"/>
      <c r="P163" s="365"/>
    </row>
    <row r="164" spans="1:16" ht="9" customHeight="1">
      <c r="A164" s="446" t="s">
        <v>369</v>
      </c>
      <c r="B164" s="447"/>
      <c r="C164" s="447"/>
      <c r="D164" s="447"/>
      <c r="E164" s="448"/>
      <c r="F164" s="425" t="s">
        <v>370</v>
      </c>
      <c r="G164" s="147"/>
      <c r="H164" s="427" t="s">
        <v>371</v>
      </c>
      <c r="I164" s="425" t="s">
        <v>369</v>
      </c>
      <c r="J164" s="447"/>
      <c r="K164" s="447"/>
      <c r="L164" s="447"/>
      <c r="M164" s="448"/>
      <c r="N164" s="425" t="s">
        <v>370</v>
      </c>
      <c r="O164" s="147"/>
      <c r="P164" s="428" t="s">
        <v>371</v>
      </c>
    </row>
    <row r="165" spans="1:16" ht="26.25" customHeight="1">
      <c r="A165" s="449"/>
      <c r="B165" s="450"/>
      <c r="C165" s="450"/>
      <c r="D165" s="450"/>
      <c r="E165" s="451"/>
      <c r="F165" s="426"/>
      <c r="G165" s="166" t="s">
        <v>372</v>
      </c>
      <c r="H165" s="426"/>
      <c r="I165" s="452"/>
      <c r="J165" s="450"/>
      <c r="K165" s="450"/>
      <c r="L165" s="450"/>
      <c r="M165" s="451"/>
      <c r="N165" s="426"/>
      <c r="O165" s="166" t="s">
        <v>372</v>
      </c>
      <c r="P165" s="429"/>
    </row>
    <row r="166" spans="1:16" s="2" customFormat="1" ht="20.149999999999999" customHeight="1">
      <c r="A166" s="354" t="s">
        <v>373</v>
      </c>
      <c r="B166" s="355"/>
      <c r="C166" s="355"/>
      <c r="D166" s="355"/>
      <c r="E166" s="355"/>
      <c r="F166" s="167"/>
      <c r="G166" s="119"/>
      <c r="H166" s="120"/>
      <c r="I166" s="432" t="s">
        <v>374</v>
      </c>
      <c r="J166" s="433"/>
      <c r="K166" s="433"/>
      <c r="L166" s="433"/>
      <c r="M166" s="434"/>
      <c r="N166" s="167"/>
      <c r="O166" s="119"/>
      <c r="P166" s="120"/>
    </row>
    <row r="167" spans="1:16" s="2" customFormat="1" ht="20.149999999999999" customHeight="1">
      <c r="A167" s="354" t="s">
        <v>375</v>
      </c>
      <c r="B167" s="355"/>
      <c r="C167" s="355"/>
      <c r="D167" s="355"/>
      <c r="E167" s="355"/>
      <c r="F167" s="168"/>
      <c r="G167" s="119"/>
      <c r="H167" s="120"/>
      <c r="I167" s="432" t="s">
        <v>376</v>
      </c>
      <c r="J167" s="433"/>
      <c r="K167" s="433"/>
      <c r="L167" s="433"/>
      <c r="M167" s="434"/>
      <c r="N167" s="168"/>
      <c r="O167" s="119"/>
      <c r="P167" s="120"/>
    </row>
    <row r="168" spans="1:16" s="2" customFormat="1" ht="20.149999999999999" customHeight="1">
      <c r="A168" s="354" t="s">
        <v>377</v>
      </c>
      <c r="B168" s="355"/>
      <c r="C168" s="355"/>
      <c r="D168" s="355"/>
      <c r="E168" s="355"/>
      <c r="F168" s="168"/>
      <c r="G168" s="119"/>
      <c r="H168" s="120"/>
      <c r="I168" s="432" t="s">
        <v>378</v>
      </c>
      <c r="J168" s="433"/>
      <c r="K168" s="433"/>
      <c r="L168" s="433"/>
      <c r="M168" s="434"/>
      <c r="N168" s="168"/>
      <c r="O168" s="119"/>
      <c r="P168" s="120"/>
    </row>
    <row r="169" spans="1:16" s="2" customFormat="1" ht="20.149999999999999" customHeight="1">
      <c r="A169" s="354" t="s">
        <v>379</v>
      </c>
      <c r="B169" s="355"/>
      <c r="C169" s="355"/>
      <c r="D169" s="355"/>
      <c r="E169" s="355"/>
      <c r="F169" s="168"/>
      <c r="G169" s="119"/>
      <c r="H169" s="120"/>
      <c r="I169" s="432" t="s">
        <v>380</v>
      </c>
      <c r="J169" s="433"/>
      <c r="K169" s="433"/>
      <c r="L169" s="433"/>
      <c r="M169" s="434"/>
      <c r="N169" s="168"/>
      <c r="O169" s="119"/>
      <c r="P169" s="120"/>
    </row>
    <row r="170" spans="1:16" s="2" customFormat="1" ht="20.149999999999999" customHeight="1">
      <c r="A170" s="354" t="s">
        <v>381</v>
      </c>
      <c r="B170" s="355"/>
      <c r="C170" s="355"/>
      <c r="D170" s="355"/>
      <c r="E170" s="355"/>
      <c r="F170" s="168"/>
      <c r="G170" s="119"/>
      <c r="H170" s="120"/>
      <c r="I170" s="432" t="s">
        <v>382</v>
      </c>
      <c r="J170" s="433"/>
      <c r="K170" s="433"/>
      <c r="L170" s="433"/>
      <c r="M170" s="434"/>
      <c r="N170" s="168"/>
      <c r="O170" s="119"/>
      <c r="P170" s="120"/>
    </row>
    <row r="171" spans="1:16" s="2" customFormat="1" ht="20.149999999999999" customHeight="1">
      <c r="A171" s="354" t="s">
        <v>383</v>
      </c>
      <c r="B171" s="355"/>
      <c r="C171" s="355"/>
      <c r="D171" s="355"/>
      <c r="E171" s="355"/>
      <c r="F171" s="168"/>
      <c r="G171" s="119"/>
      <c r="H171" s="120"/>
      <c r="I171" s="432" t="s">
        <v>384</v>
      </c>
      <c r="J171" s="433"/>
      <c r="K171" s="433"/>
      <c r="L171" s="433"/>
      <c r="M171" s="434"/>
      <c r="N171" s="168"/>
      <c r="O171" s="119"/>
      <c r="P171" s="120"/>
    </row>
    <row r="172" spans="1:16" s="2" customFormat="1" ht="20.149999999999999" customHeight="1">
      <c r="A172" s="354" t="s">
        <v>385</v>
      </c>
      <c r="B172" s="355"/>
      <c r="C172" s="355"/>
      <c r="D172" s="355"/>
      <c r="E172" s="355"/>
      <c r="F172" s="168"/>
      <c r="G172" s="119"/>
      <c r="H172" s="120"/>
      <c r="I172" s="432" t="s">
        <v>386</v>
      </c>
      <c r="J172" s="433"/>
      <c r="K172" s="433"/>
      <c r="L172" s="433"/>
      <c r="M172" s="434"/>
      <c r="N172" s="168"/>
      <c r="O172" s="119"/>
      <c r="P172" s="120"/>
    </row>
    <row r="173" spans="1:16" s="2" customFormat="1" ht="20.149999999999999" customHeight="1">
      <c r="A173" s="354" t="s">
        <v>387</v>
      </c>
      <c r="B173" s="355"/>
      <c r="C173" s="355"/>
      <c r="D173" s="355"/>
      <c r="E173" s="355"/>
      <c r="F173" s="168"/>
      <c r="G173" s="119"/>
      <c r="H173" s="120"/>
      <c r="I173" s="432" t="s">
        <v>388</v>
      </c>
      <c r="J173" s="433"/>
      <c r="K173" s="433"/>
      <c r="L173" s="433"/>
      <c r="M173" s="434"/>
      <c r="N173" s="168"/>
      <c r="O173" s="119"/>
      <c r="P173" s="120"/>
    </row>
    <row r="174" spans="1:16" s="2" customFormat="1" ht="20.149999999999999" customHeight="1">
      <c r="A174" s="356" t="s">
        <v>389</v>
      </c>
      <c r="B174" s="357"/>
      <c r="C174" s="357"/>
      <c r="D174" s="357"/>
      <c r="E174" s="357"/>
      <c r="F174" s="168"/>
      <c r="G174" s="119"/>
      <c r="H174" s="120"/>
      <c r="I174" s="432" t="s">
        <v>390</v>
      </c>
      <c r="J174" s="433"/>
      <c r="K174" s="433"/>
      <c r="L174" s="433"/>
      <c r="M174" s="434"/>
      <c r="N174" s="168"/>
      <c r="O174" s="119"/>
      <c r="P174" s="120"/>
    </row>
    <row r="175" spans="1:16" s="2" customFormat="1" ht="20.149999999999999" customHeight="1">
      <c r="A175" s="356" t="s">
        <v>391</v>
      </c>
      <c r="B175" s="357"/>
      <c r="C175" s="357"/>
      <c r="D175" s="357"/>
      <c r="E175" s="357"/>
      <c r="F175" s="168"/>
      <c r="G175" s="119"/>
      <c r="H175" s="121"/>
      <c r="I175" s="432" t="s">
        <v>392</v>
      </c>
      <c r="J175" s="433"/>
      <c r="K175" s="433"/>
      <c r="L175" s="433"/>
      <c r="M175" s="434"/>
      <c r="N175" s="168"/>
      <c r="O175" s="119"/>
      <c r="P175" s="121"/>
    </row>
    <row r="176" spans="1:16" s="2" customFormat="1" ht="20.149999999999999" customHeight="1" thickBot="1">
      <c r="A176" s="430" t="s">
        <v>393</v>
      </c>
      <c r="B176" s="431"/>
      <c r="C176" s="431"/>
      <c r="D176" s="431"/>
      <c r="E176" s="431"/>
      <c r="F176" s="169"/>
      <c r="G176" s="112"/>
      <c r="H176" s="122"/>
      <c r="I176" s="442"/>
      <c r="J176" s="443"/>
      <c r="K176" s="443"/>
      <c r="L176" s="443"/>
      <c r="M176" s="444"/>
      <c r="N176" s="148"/>
      <c r="O176" s="70"/>
      <c r="P176" s="12"/>
    </row>
    <row r="177" spans="1:16" s="2" customFormat="1" ht="20.149999999999999" customHeight="1">
      <c r="A177" s="21" t="s">
        <v>394</v>
      </c>
      <c r="B177" s="21"/>
      <c r="C177" s="21"/>
      <c r="D177" s="21"/>
      <c r="E177" s="21"/>
      <c r="F177" s="21"/>
      <c r="G177" s="21"/>
      <c r="H177" s="81"/>
      <c r="I177" s="8"/>
      <c r="J177" s="8"/>
      <c r="K177" s="8"/>
      <c r="L177" s="8"/>
      <c r="M177" s="8"/>
      <c r="N177" s="8"/>
      <c r="O177" s="8"/>
      <c r="P177" s="9"/>
    </row>
    <row r="178" spans="1:16" s="2" customFormat="1" ht="20.149999999999999" customHeight="1">
      <c r="A178" s="3" t="s">
        <v>395</v>
      </c>
      <c r="B178" s="21"/>
      <c r="C178" s="21"/>
      <c r="D178" s="21"/>
      <c r="E178" s="21"/>
      <c r="F178" s="21"/>
      <c r="G178" s="21"/>
      <c r="H178" s="81"/>
      <c r="I178" s="8"/>
      <c r="J178" s="8"/>
      <c r="K178" s="8"/>
      <c r="L178" s="8"/>
      <c r="M178" s="8"/>
      <c r="N178" s="8"/>
      <c r="O178" s="8"/>
      <c r="P178" s="9"/>
    </row>
    <row r="179" spans="1:16" ht="9" customHeight="1"/>
    <row r="180" spans="1:16" ht="24" customHeight="1">
      <c r="A180" s="365" t="s">
        <v>256</v>
      </c>
      <c r="B180" s="365"/>
      <c r="C180" s="365"/>
      <c r="D180" s="365"/>
      <c r="E180" s="365"/>
      <c r="F180" s="365"/>
      <c r="G180" s="365"/>
      <c r="H180" s="365"/>
      <c r="I180" s="365"/>
      <c r="J180" s="365"/>
      <c r="K180" s="365"/>
      <c r="L180" s="365"/>
      <c r="M180" s="365"/>
      <c r="N180" s="365"/>
      <c r="O180" s="365"/>
      <c r="P180" s="365"/>
    </row>
    <row r="181" spans="1:16" s="172" customFormat="1" ht="22.5" customHeight="1" thickBot="1">
      <c r="A181" s="682" t="s">
        <v>257</v>
      </c>
      <c r="B181" s="682"/>
      <c r="C181" s="682"/>
      <c r="D181" s="682"/>
      <c r="E181" s="682"/>
      <c r="F181" s="682"/>
      <c r="G181" s="682"/>
      <c r="H181" s="682"/>
      <c r="I181" s="682"/>
      <c r="J181" s="682"/>
      <c r="K181" s="220"/>
      <c r="L181" s="317"/>
      <c r="M181" s="317"/>
      <c r="N181" s="317"/>
      <c r="O181" s="317"/>
      <c r="P181" s="317"/>
    </row>
    <row r="182" spans="1:16" ht="20.149999999999999" customHeight="1">
      <c r="A182" s="108"/>
      <c r="B182" s="454" t="s">
        <v>125</v>
      </c>
      <c r="C182" s="455"/>
      <c r="D182" s="455"/>
      <c r="E182" s="455"/>
      <c r="F182" s="455"/>
      <c r="G182" s="455"/>
      <c r="H182" s="455"/>
      <c r="I182" s="456"/>
      <c r="J182" s="132"/>
    </row>
    <row r="183" spans="1:16" ht="20.149999999999999" customHeight="1">
      <c r="A183" s="109"/>
      <c r="B183" s="362" t="s">
        <v>126</v>
      </c>
      <c r="C183" s="363"/>
      <c r="D183" s="363"/>
      <c r="E183" s="363"/>
      <c r="F183" s="363"/>
      <c r="G183" s="363"/>
      <c r="H183" s="363"/>
      <c r="I183" s="364"/>
    </row>
    <row r="184" spans="1:16" ht="20.149999999999999" customHeight="1">
      <c r="A184" s="123"/>
      <c r="B184" s="362" t="s">
        <v>127</v>
      </c>
      <c r="C184" s="363"/>
      <c r="D184" s="363"/>
      <c r="E184" s="363"/>
      <c r="F184" s="363"/>
      <c r="G184" s="363"/>
      <c r="H184" s="363"/>
      <c r="I184" s="364"/>
    </row>
    <row r="185" spans="1:16" ht="20.149999999999999" customHeight="1">
      <c r="A185" s="109"/>
      <c r="B185" s="362" t="s">
        <v>128</v>
      </c>
      <c r="C185" s="363"/>
      <c r="D185" s="363"/>
      <c r="E185" s="363"/>
      <c r="F185" s="363"/>
      <c r="G185" s="363"/>
      <c r="H185" s="363"/>
      <c r="I185" s="364"/>
    </row>
    <row r="186" spans="1:16" ht="20.149999999999999" customHeight="1">
      <c r="A186" s="124"/>
      <c r="B186" s="457" t="s">
        <v>134</v>
      </c>
      <c r="C186" s="400"/>
      <c r="D186" s="400"/>
      <c r="E186" s="400"/>
      <c r="F186" s="400"/>
      <c r="G186" s="400"/>
      <c r="H186" s="400"/>
      <c r="I186" s="401"/>
    </row>
    <row r="187" spans="1:16" ht="20.149999999999999" customHeight="1" thickBot="1">
      <c r="A187" s="110"/>
      <c r="B187" s="77" t="s">
        <v>23</v>
      </c>
      <c r="C187" s="78"/>
      <c r="D187" s="424"/>
      <c r="E187" s="424"/>
      <c r="F187" s="424"/>
      <c r="G187" s="424"/>
      <c r="H187" s="424"/>
      <c r="I187" s="23" t="s">
        <v>19</v>
      </c>
    </row>
    <row r="188" spans="1:16" ht="9" customHeight="1"/>
    <row r="189" spans="1:16" ht="30" customHeight="1">
      <c r="A189" s="20" t="s">
        <v>132</v>
      </c>
      <c r="B189" s="20"/>
      <c r="C189" s="20"/>
      <c r="D189" s="20"/>
      <c r="E189" s="20"/>
      <c r="F189" s="20"/>
      <c r="G189" s="20"/>
      <c r="H189" s="20"/>
      <c r="I189" s="20"/>
      <c r="J189" s="20"/>
      <c r="K189" s="20"/>
      <c r="L189" s="20"/>
      <c r="M189" s="20"/>
      <c r="N189" s="20"/>
      <c r="O189" s="20"/>
      <c r="P189" s="20"/>
    </row>
    <row r="190" spans="1:16" ht="22.5" customHeight="1" thickBot="1">
      <c r="A190" s="682" t="s">
        <v>257</v>
      </c>
      <c r="B190" s="682"/>
      <c r="C190" s="682"/>
      <c r="D190" s="682"/>
      <c r="E190" s="682"/>
      <c r="F190" s="682"/>
      <c r="G190" s="682"/>
      <c r="H190" s="682"/>
      <c r="I190" s="682"/>
      <c r="J190" s="682"/>
      <c r="K190" s="220" t="str">
        <f>IF(COUNTIF(A191:A193,"✓")=1,"","（どれか一つにチェック）")</f>
        <v>（どれか一つにチェック）</v>
      </c>
      <c r="L190" s="317"/>
      <c r="M190" s="317"/>
      <c r="N190" s="317"/>
      <c r="O190" s="317"/>
      <c r="P190" s="317"/>
    </row>
    <row r="191" spans="1:16" ht="20.149999999999999" customHeight="1">
      <c r="A191" s="108"/>
      <c r="B191" s="467" t="s">
        <v>123</v>
      </c>
      <c r="C191" s="468"/>
      <c r="D191" s="468"/>
      <c r="E191" s="468"/>
      <c r="F191" s="468"/>
      <c r="G191" s="469"/>
      <c r="H191" s="39"/>
      <c r="I191" s="170" t="str">
        <f>IF(A191="✓","⇒（５）を回答してください","")</f>
        <v/>
      </c>
      <c r="J191" s="3"/>
      <c r="K191" s="3"/>
      <c r="L191" s="3"/>
      <c r="M191" s="3"/>
      <c r="N191" s="3"/>
      <c r="O191" s="3"/>
      <c r="P191" s="3"/>
    </row>
    <row r="192" spans="1:16" ht="20.149999999999999" customHeight="1">
      <c r="A192" s="118"/>
      <c r="B192" s="360" t="s">
        <v>122</v>
      </c>
      <c r="C192" s="360"/>
      <c r="D192" s="360"/>
      <c r="E192" s="360"/>
      <c r="F192" s="360"/>
      <c r="G192" s="361"/>
      <c r="I192" s="679" t="str">
        <f>IF(A192="✓","⇒（７）以下を回答してください","")</f>
        <v/>
      </c>
      <c r="J192" s="679"/>
      <c r="K192" s="679"/>
      <c r="L192" s="679"/>
      <c r="M192" s="679"/>
      <c r="N192" s="679"/>
      <c r="O192" s="679"/>
      <c r="P192" s="679"/>
    </row>
    <row r="193" spans="1:16" ht="20.149999999999999" customHeight="1" thickBot="1">
      <c r="A193" s="110"/>
      <c r="B193" s="411" t="s">
        <v>101</v>
      </c>
      <c r="C193" s="412"/>
      <c r="D193" s="412"/>
      <c r="E193" s="412"/>
      <c r="F193" s="412"/>
      <c r="G193" s="413"/>
      <c r="H193" s="39"/>
      <c r="I193" s="170" t="str">
        <f>IF(A193="✓","⇒（６）以下を回答してください","")</f>
        <v/>
      </c>
      <c r="J193" s="3"/>
      <c r="K193" s="3"/>
      <c r="L193" s="3"/>
      <c r="M193" s="3"/>
      <c r="N193" s="3"/>
      <c r="O193" s="3"/>
      <c r="P193" s="3"/>
    </row>
    <row r="194" spans="1:16" ht="9.65" customHeight="1">
      <c r="A194" s="66"/>
      <c r="B194" s="7"/>
      <c r="C194" s="7"/>
      <c r="D194" s="7"/>
      <c r="E194" s="7"/>
      <c r="F194" s="3"/>
      <c r="G194" s="3"/>
      <c r="H194" s="3"/>
      <c r="I194" s="3"/>
      <c r="J194" s="3"/>
      <c r="K194" s="3"/>
      <c r="L194" s="3"/>
      <c r="M194" s="3"/>
      <c r="N194" s="3"/>
      <c r="O194" s="3"/>
      <c r="P194" s="3"/>
    </row>
    <row r="195" spans="1:16" s="67" customFormat="1" ht="30" customHeight="1">
      <c r="A195" s="67" t="s">
        <v>309</v>
      </c>
    </row>
    <row r="196" spans="1:16" ht="18.5" thickBot="1">
      <c r="A196" s="7" t="s">
        <v>314</v>
      </c>
      <c r="B196" s="7"/>
      <c r="C196" s="7"/>
      <c r="D196" s="7"/>
      <c r="E196" s="7"/>
      <c r="F196" s="3"/>
      <c r="G196" s="3"/>
      <c r="H196" s="3"/>
      <c r="I196" s="3"/>
      <c r="J196" s="3"/>
      <c r="K196" s="3"/>
      <c r="L196" s="3"/>
      <c r="M196" s="3"/>
      <c r="N196" s="3"/>
      <c r="O196" s="3"/>
      <c r="P196" s="3"/>
    </row>
    <row r="197" spans="1:16" ht="43" customHeight="1" thickBot="1">
      <c r="A197" s="414"/>
      <c r="B197" s="415"/>
      <c r="C197" s="415"/>
      <c r="D197" s="415"/>
      <c r="E197" s="415"/>
      <c r="F197" s="415"/>
      <c r="G197" s="415"/>
      <c r="H197" s="415"/>
      <c r="I197" s="415"/>
      <c r="J197" s="415"/>
      <c r="K197" s="415"/>
      <c r="L197" s="415"/>
      <c r="M197" s="415"/>
      <c r="N197" s="415"/>
      <c r="O197" s="415"/>
      <c r="P197" s="416"/>
    </row>
    <row r="198" spans="1:16" ht="9.65" customHeight="1">
      <c r="A198" s="37"/>
      <c r="B198" s="7"/>
      <c r="C198" s="7"/>
      <c r="D198" s="7"/>
      <c r="E198" s="7"/>
      <c r="F198" s="3"/>
      <c r="G198" s="3"/>
      <c r="H198" s="3"/>
      <c r="I198" s="3"/>
      <c r="J198" s="3"/>
      <c r="K198" s="3"/>
      <c r="L198" s="3"/>
      <c r="M198" s="3"/>
      <c r="N198" s="3"/>
      <c r="O198" s="3"/>
      <c r="P198" s="3"/>
    </row>
    <row r="199" spans="1:16" ht="30" customHeight="1" thickBot="1">
      <c r="A199" s="20" t="s">
        <v>566</v>
      </c>
      <c r="B199" s="20"/>
      <c r="C199" s="20"/>
      <c r="D199" s="20"/>
      <c r="E199" s="20"/>
      <c r="F199" s="20"/>
      <c r="G199" s="20"/>
      <c r="H199" s="20"/>
      <c r="I199" s="20"/>
      <c r="J199" s="20"/>
      <c r="K199" s="20"/>
      <c r="L199" s="20"/>
      <c r="M199" s="20"/>
      <c r="N199" s="20"/>
      <c r="O199" s="20"/>
      <c r="P199" s="20"/>
    </row>
    <row r="200" spans="1:16" ht="20.149999999999999" customHeight="1">
      <c r="A200" s="108"/>
      <c r="B200" s="407" t="s">
        <v>24</v>
      </c>
      <c r="C200" s="407"/>
      <c r="D200" s="407"/>
      <c r="E200" s="407"/>
      <c r="F200" s="407"/>
      <c r="G200" s="407"/>
      <c r="H200" s="407"/>
      <c r="I200" s="408"/>
      <c r="J200" s="3"/>
      <c r="K200" s="3"/>
      <c r="L200" s="3"/>
      <c r="M200" s="3"/>
      <c r="N200" s="3"/>
      <c r="O200" s="3"/>
      <c r="P200" s="3"/>
    </row>
    <row r="201" spans="1:16" ht="20.149999999999999" customHeight="1">
      <c r="A201" s="109"/>
      <c r="B201" s="360" t="s">
        <v>25</v>
      </c>
      <c r="C201" s="360"/>
      <c r="D201" s="360"/>
      <c r="E201" s="360"/>
      <c r="F201" s="360"/>
      <c r="G201" s="360"/>
      <c r="H201" s="360"/>
      <c r="I201" s="361"/>
      <c r="J201" s="3"/>
      <c r="K201" s="3"/>
      <c r="L201" s="3"/>
      <c r="M201" s="3"/>
      <c r="N201" s="3"/>
      <c r="O201" s="3"/>
      <c r="P201" s="3"/>
    </row>
    <row r="202" spans="1:16" ht="20.149999999999999" customHeight="1">
      <c r="A202" s="109"/>
      <c r="B202" s="360" t="s">
        <v>26</v>
      </c>
      <c r="C202" s="360"/>
      <c r="D202" s="360"/>
      <c r="E202" s="360"/>
      <c r="F202" s="360"/>
      <c r="G202" s="360"/>
      <c r="H202" s="360"/>
      <c r="I202" s="361"/>
      <c r="J202" s="3"/>
      <c r="K202" s="3"/>
      <c r="L202" s="3"/>
      <c r="M202" s="3"/>
      <c r="N202" s="3"/>
      <c r="O202" s="3"/>
      <c r="P202" s="3"/>
    </row>
    <row r="203" spans="1:16" ht="20.149999999999999" customHeight="1">
      <c r="A203" s="109"/>
      <c r="B203" s="360" t="s">
        <v>27</v>
      </c>
      <c r="C203" s="360"/>
      <c r="D203" s="360"/>
      <c r="E203" s="360"/>
      <c r="F203" s="360"/>
      <c r="G203" s="360"/>
      <c r="H203" s="360"/>
      <c r="I203" s="361"/>
      <c r="J203" s="3"/>
      <c r="K203" s="3"/>
      <c r="L203" s="3"/>
      <c r="M203" s="3"/>
      <c r="N203" s="3"/>
      <c r="O203" s="3"/>
      <c r="P203" s="3"/>
    </row>
    <row r="204" spans="1:16" ht="20.149999999999999" customHeight="1">
      <c r="A204" s="109"/>
      <c r="B204" s="457" t="s">
        <v>133</v>
      </c>
      <c r="C204" s="400"/>
      <c r="D204" s="400"/>
      <c r="E204" s="400"/>
      <c r="F204" s="400"/>
      <c r="G204" s="400"/>
      <c r="H204" s="400"/>
      <c r="I204" s="401"/>
      <c r="J204" s="3"/>
      <c r="K204" s="3"/>
      <c r="L204" s="3"/>
      <c r="M204" s="3"/>
      <c r="N204" s="3"/>
      <c r="O204" s="3"/>
      <c r="P204" s="3"/>
    </row>
    <row r="205" spans="1:16" ht="20.149999999999999" customHeight="1">
      <c r="A205" s="109"/>
      <c r="B205" s="360" t="s">
        <v>28</v>
      </c>
      <c r="C205" s="360"/>
      <c r="D205" s="360"/>
      <c r="E205" s="360"/>
      <c r="F205" s="360"/>
      <c r="G205" s="360"/>
      <c r="H205" s="360"/>
      <c r="I205" s="361"/>
      <c r="J205" s="3"/>
      <c r="K205" s="3"/>
      <c r="L205" s="3"/>
      <c r="M205" s="3"/>
      <c r="N205" s="3"/>
      <c r="O205" s="3"/>
      <c r="P205" s="3"/>
    </row>
    <row r="206" spans="1:16" ht="20.149999999999999" customHeight="1" thickBot="1">
      <c r="A206" s="110"/>
      <c r="B206" s="16" t="s">
        <v>23</v>
      </c>
      <c r="C206" s="17"/>
      <c r="D206" s="341"/>
      <c r="E206" s="342"/>
      <c r="F206" s="342"/>
      <c r="G206" s="342"/>
      <c r="H206" s="343"/>
      <c r="I206" s="13" t="s">
        <v>19</v>
      </c>
      <c r="J206" s="3"/>
      <c r="K206" s="3"/>
      <c r="L206" s="3"/>
      <c r="M206" s="3"/>
      <c r="N206" s="3"/>
      <c r="O206" s="3"/>
      <c r="P206" s="3"/>
    </row>
    <row r="207" spans="1:16" ht="9.65" customHeight="1">
      <c r="A207" s="68"/>
      <c r="B207" s="7"/>
      <c r="C207" s="7"/>
      <c r="D207" s="7"/>
      <c r="E207" s="7"/>
      <c r="F207" s="3"/>
      <c r="G207" s="3"/>
      <c r="H207" s="3"/>
      <c r="I207" s="3"/>
      <c r="J207" s="3"/>
      <c r="K207" s="3"/>
      <c r="L207" s="3"/>
      <c r="M207" s="3"/>
      <c r="N207" s="3"/>
      <c r="O207" s="3"/>
      <c r="P207" s="3"/>
    </row>
    <row r="208" spans="1:16" ht="30" customHeight="1" thickBot="1">
      <c r="A208" s="365" t="s">
        <v>184</v>
      </c>
      <c r="B208" s="365"/>
      <c r="C208" s="365"/>
      <c r="D208" s="365"/>
      <c r="E208" s="365"/>
      <c r="F208" s="365"/>
      <c r="G208" s="365"/>
      <c r="H208" s="365"/>
      <c r="I208" s="365"/>
      <c r="J208" s="365"/>
      <c r="K208" s="365"/>
      <c r="L208" s="365"/>
      <c r="M208" s="365"/>
      <c r="N208" s="365"/>
      <c r="O208" s="365"/>
      <c r="P208" s="365"/>
    </row>
    <row r="209" spans="1:16" ht="20.149999999999999" customHeight="1">
      <c r="A209" s="108"/>
      <c r="B209" s="407" t="s">
        <v>185</v>
      </c>
      <c r="C209" s="407"/>
      <c r="D209" s="407"/>
      <c r="E209" s="408"/>
      <c r="F209" s="105" t="str">
        <f>IF(COUNTIF(A209:A210,"✓")=1,"","どちらか一つにチェック")</f>
        <v>どちらか一つにチェック</v>
      </c>
      <c r="G209" s="22"/>
      <c r="H209" s="22"/>
      <c r="I209" s="22"/>
      <c r="J209" s="1"/>
    </row>
    <row r="210" spans="1:16" ht="20.149999999999999" customHeight="1" thickBot="1">
      <c r="A210" s="110"/>
      <c r="B210" s="409" t="s">
        <v>186</v>
      </c>
      <c r="C210" s="409"/>
      <c r="D210" s="409"/>
      <c r="E210" s="410"/>
      <c r="F210" s="22"/>
      <c r="G210" s="22"/>
      <c r="H210" s="22"/>
      <c r="I210" s="22"/>
      <c r="J210" s="1"/>
    </row>
    <row r="211" spans="1:16" ht="9.65" customHeight="1">
      <c r="A211" s="68"/>
      <c r="B211" s="7"/>
      <c r="C211" s="7"/>
      <c r="D211" s="7"/>
      <c r="E211" s="7"/>
      <c r="F211" s="3"/>
      <c r="G211" s="3"/>
      <c r="H211" s="3"/>
      <c r="I211" s="3"/>
      <c r="J211" s="3"/>
      <c r="K211" s="3"/>
      <c r="L211" s="3"/>
      <c r="M211" s="3"/>
      <c r="N211" s="3"/>
      <c r="O211" s="3"/>
      <c r="P211" s="3"/>
    </row>
    <row r="212" spans="1:16" ht="30" customHeight="1" thickBot="1">
      <c r="A212" s="365" t="s">
        <v>187</v>
      </c>
      <c r="B212" s="365"/>
      <c r="C212" s="365"/>
      <c r="D212" s="365"/>
      <c r="E212" s="365"/>
      <c r="F212" s="365"/>
      <c r="G212" s="365"/>
      <c r="H212" s="365"/>
      <c r="I212" s="365"/>
      <c r="J212" s="365"/>
      <c r="K212" s="365"/>
      <c r="L212" s="365"/>
      <c r="M212" s="365"/>
      <c r="N212" s="365"/>
      <c r="O212" s="365"/>
      <c r="P212" s="365"/>
    </row>
    <row r="213" spans="1:16" ht="20.149999999999999" customHeight="1">
      <c r="A213" s="108"/>
      <c r="B213" s="79" t="s">
        <v>135</v>
      </c>
      <c r="C213" s="105" t="str">
        <f>IF(COUNTIF(A213:A214,"✓")=1,"","どちらか一つにチェック")</f>
        <v>どちらか一つにチェック</v>
      </c>
      <c r="D213" s="22"/>
      <c r="E213" s="22"/>
      <c r="F213" s="22"/>
      <c r="G213" s="22"/>
      <c r="H213" s="22"/>
      <c r="I213" s="22"/>
      <c r="J213" s="1"/>
    </row>
    <row r="214" spans="1:16" ht="20.149999999999999" customHeight="1" thickBot="1">
      <c r="A214" s="110"/>
      <c r="B214" s="80" t="s">
        <v>136</v>
      </c>
      <c r="C214" s="22"/>
      <c r="D214" s="22"/>
      <c r="E214" s="22"/>
      <c r="F214" s="22"/>
      <c r="G214" s="22"/>
      <c r="H214" s="22"/>
      <c r="I214" s="22"/>
      <c r="J214" s="1"/>
    </row>
    <row r="215" spans="1:16" ht="12.65" customHeight="1">
      <c r="A215" s="131"/>
      <c r="B215" s="22"/>
      <c r="C215" s="22"/>
      <c r="D215" s="131"/>
      <c r="E215" s="131"/>
      <c r="F215" s="131"/>
      <c r="G215" s="131"/>
      <c r="H215" s="131"/>
      <c r="I215" s="131"/>
      <c r="J215" s="6"/>
      <c r="K215" s="6"/>
      <c r="L215" s="3"/>
      <c r="M215" s="3"/>
      <c r="N215" s="3"/>
      <c r="O215" s="3"/>
      <c r="P215" s="3"/>
    </row>
    <row r="216" spans="1:16" ht="30" customHeight="1">
      <c r="A216" s="346" t="s">
        <v>315</v>
      </c>
      <c r="B216" s="346"/>
      <c r="C216" s="346"/>
      <c r="D216" s="346"/>
      <c r="E216" s="346"/>
      <c r="F216" s="346"/>
      <c r="G216" s="346"/>
      <c r="H216" s="346"/>
      <c r="I216" s="346"/>
      <c r="J216" s="346"/>
      <c r="K216" s="346"/>
      <c r="L216" s="346"/>
      <c r="M216" s="346"/>
      <c r="N216" s="346"/>
      <c r="O216" s="346"/>
      <c r="P216" s="346"/>
    </row>
    <row r="217" spans="1:16" s="172" customFormat="1" ht="30" customHeight="1" thickBot="1">
      <c r="A217" s="301" t="s">
        <v>567</v>
      </c>
      <c r="B217" s="301"/>
      <c r="C217" s="301"/>
      <c r="D217" s="301"/>
      <c r="E217" s="301"/>
      <c r="F217" s="301"/>
      <c r="G217" s="301"/>
      <c r="H217" s="301"/>
      <c r="I217" s="301"/>
      <c r="J217" s="301"/>
      <c r="K217" s="301"/>
      <c r="L217" s="301"/>
      <c r="M217" s="301"/>
      <c r="N217" s="301"/>
      <c r="O217" s="301"/>
      <c r="P217" s="301"/>
    </row>
    <row r="218" spans="1:16" ht="20.149999999999999" customHeight="1" thickBot="1">
      <c r="A218" s="347" t="s">
        <v>258</v>
      </c>
      <c r="B218" s="348"/>
      <c r="C218" s="348"/>
      <c r="D218" s="348"/>
      <c r="E218" s="349"/>
      <c r="F218" s="350"/>
      <c r="G218" s="158" t="s">
        <v>319</v>
      </c>
      <c r="H218" s="134" t="str">
        <f>IF(E218="","いない場合はゼロを入力してください","")</f>
        <v>いない場合はゼロを入力してください</v>
      </c>
      <c r="I218" s="3"/>
      <c r="J218" s="3"/>
      <c r="K218" s="3"/>
      <c r="L218" s="3"/>
      <c r="M218" s="3"/>
      <c r="N218" s="3"/>
      <c r="O218" s="3"/>
      <c r="P218" s="3"/>
    </row>
    <row r="219" spans="1:16" ht="9.65" customHeight="1">
      <c r="A219" s="131"/>
      <c r="B219" s="131"/>
      <c r="C219" s="131"/>
      <c r="D219" s="131"/>
      <c r="E219" s="131"/>
      <c r="F219" s="131"/>
      <c r="G219" s="3"/>
      <c r="H219" s="3"/>
      <c r="I219" s="3"/>
      <c r="J219" s="3"/>
      <c r="K219" s="3"/>
      <c r="L219" s="3"/>
      <c r="M219" s="3"/>
      <c r="N219" s="3"/>
      <c r="O219" s="3"/>
      <c r="P219" s="3"/>
    </row>
    <row r="220" spans="1:16" ht="30" customHeight="1" thickBot="1">
      <c r="A220" s="135" t="s">
        <v>259</v>
      </c>
      <c r="B220" s="135"/>
      <c r="C220" s="135"/>
      <c r="D220" s="135"/>
      <c r="E220" s="135"/>
      <c r="F220" s="135"/>
      <c r="G220" s="135"/>
      <c r="H220" s="135"/>
      <c r="I220" s="129"/>
      <c r="J220" s="129"/>
      <c r="K220" s="129"/>
      <c r="L220" s="129"/>
      <c r="M220" s="129"/>
      <c r="N220" s="129"/>
      <c r="O220" s="129"/>
      <c r="P220" s="129"/>
    </row>
    <row r="221" spans="1:16" ht="19.5" customHeight="1">
      <c r="A221" s="417"/>
      <c r="B221" s="418"/>
      <c r="C221" s="419"/>
      <c r="D221" s="130" t="s">
        <v>143</v>
      </c>
      <c r="E221" s="404"/>
      <c r="F221" s="405"/>
      <c r="G221" s="406"/>
      <c r="H221" s="130" t="s">
        <v>143</v>
      </c>
      <c r="I221" s="404"/>
      <c r="J221" s="405"/>
      <c r="K221" s="406"/>
      <c r="L221" s="130" t="s">
        <v>143</v>
      </c>
      <c r="M221" s="136"/>
      <c r="N221" s="129"/>
      <c r="O221" s="129"/>
      <c r="P221" s="129"/>
    </row>
    <row r="222" spans="1:16" s="2" customFormat="1" ht="19" customHeight="1">
      <c r="A222" s="371" t="s">
        <v>260</v>
      </c>
      <c r="B222" s="372"/>
      <c r="C222" s="372"/>
      <c r="D222" s="111"/>
      <c r="E222" s="373" t="s">
        <v>261</v>
      </c>
      <c r="F222" s="374"/>
      <c r="G222" s="374"/>
      <c r="H222" s="114"/>
      <c r="I222" s="127" t="s">
        <v>262</v>
      </c>
      <c r="J222" s="127"/>
      <c r="K222" s="128"/>
      <c r="L222" s="137"/>
    </row>
    <row r="223" spans="1:16" s="2" customFormat="1" ht="19" customHeight="1">
      <c r="A223" s="375" t="s">
        <v>263</v>
      </c>
      <c r="B223" s="374"/>
      <c r="C223" s="374"/>
      <c r="D223" s="111"/>
      <c r="E223" s="376" t="s">
        <v>264</v>
      </c>
      <c r="F223" s="377"/>
      <c r="G223" s="377"/>
      <c r="H223" s="114"/>
      <c r="I223" s="368" t="s">
        <v>265</v>
      </c>
      <c r="J223" s="368"/>
      <c r="K223" s="373"/>
      <c r="L223" s="115"/>
      <c r="O223" s="138"/>
      <c r="P223" s="138"/>
    </row>
    <row r="224" spans="1:16" s="2" customFormat="1" ht="19" customHeight="1">
      <c r="A224" s="375" t="s">
        <v>266</v>
      </c>
      <c r="B224" s="374"/>
      <c r="C224" s="374"/>
      <c r="D224" s="111"/>
      <c r="E224" s="367" t="s">
        <v>267</v>
      </c>
      <c r="F224" s="368"/>
      <c r="G224" s="373"/>
      <c r="H224" s="114"/>
      <c r="I224" s="368" t="s">
        <v>268</v>
      </c>
      <c r="J224" s="368"/>
      <c r="K224" s="373"/>
      <c r="L224" s="115"/>
      <c r="M224" s="138"/>
    </row>
    <row r="225" spans="1:16" s="2" customFormat="1" ht="19" customHeight="1" thickBot="1">
      <c r="A225" s="375" t="s">
        <v>269</v>
      </c>
      <c r="B225" s="374"/>
      <c r="C225" s="374"/>
      <c r="D225" s="111"/>
      <c r="E225" s="367" t="s">
        <v>270</v>
      </c>
      <c r="F225" s="368"/>
      <c r="G225" s="373"/>
      <c r="H225" s="114"/>
      <c r="I225" s="378" t="s">
        <v>271</v>
      </c>
      <c r="J225" s="378"/>
      <c r="K225" s="379"/>
      <c r="L225" s="139"/>
    </row>
    <row r="226" spans="1:16" s="2" customFormat="1" ht="19" customHeight="1" thickBot="1">
      <c r="A226" s="380" t="s">
        <v>272</v>
      </c>
      <c r="B226" s="381"/>
      <c r="C226" s="381"/>
      <c r="D226" s="140"/>
      <c r="E226" s="382" t="s">
        <v>273</v>
      </c>
      <c r="F226" s="378"/>
      <c r="G226" s="376"/>
      <c r="H226" s="139"/>
      <c r="I226" s="358"/>
      <c r="J226" s="359"/>
      <c r="K226" s="359"/>
      <c r="L226" s="141"/>
      <c r="M226" s="138"/>
    </row>
    <row r="227" spans="1:16" ht="12.65" customHeight="1">
      <c r="A227" s="131"/>
      <c r="B227" s="22"/>
      <c r="C227" s="22"/>
      <c r="D227" s="142"/>
      <c r="E227" s="131"/>
      <c r="F227" s="131"/>
      <c r="G227" s="142"/>
      <c r="H227" s="142"/>
      <c r="I227" s="131"/>
      <c r="J227" s="6"/>
      <c r="K227" s="6"/>
      <c r="L227" s="3"/>
      <c r="M227" s="3"/>
      <c r="N227" s="3"/>
      <c r="O227" s="3"/>
      <c r="P227" s="3"/>
    </row>
    <row r="228" spans="1:16" ht="30" customHeight="1" thickBot="1">
      <c r="A228" s="346" t="s">
        <v>316</v>
      </c>
      <c r="B228" s="346"/>
      <c r="C228" s="346"/>
      <c r="D228" s="346"/>
      <c r="E228" s="346"/>
      <c r="F228" s="346"/>
      <c r="G228" s="346"/>
      <c r="H228" s="346"/>
      <c r="I228" s="346"/>
      <c r="J228" s="346"/>
      <c r="K228" s="346"/>
      <c r="L228" s="346"/>
      <c r="M228" s="346"/>
      <c r="N228" s="346"/>
      <c r="O228" s="346"/>
      <c r="P228" s="346"/>
    </row>
    <row r="229" spans="1:16" ht="20.149999999999999" customHeight="1" thickBot="1">
      <c r="A229" s="347" t="s">
        <v>274</v>
      </c>
      <c r="B229" s="348"/>
      <c r="C229" s="348"/>
      <c r="D229" s="348"/>
      <c r="E229" s="349"/>
      <c r="F229" s="350"/>
      <c r="G229" s="158" t="s">
        <v>319</v>
      </c>
      <c r="H229" s="134" t="str">
        <f>IF(E229="","いない場合はゼロを入力してください","")</f>
        <v>いない場合はゼロを入力してください</v>
      </c>
      <c r="I229" s="3"/>
      <c r="J229" s="3"/>
      <c r="K229" s="3"/>
      <c r="L229" s="3"/>
      <c r="M229" s="3"/>
      <c r="N229" s="3"/>
      <c r="O229" s="3"/>
      <c r="P229" s="3"/>
    </row>
    <row r="230" spans="1:16" ht="18.75" customHeight="1">
      <c r="A230" s="131"/>
      <c r="B230" s="7"/>
      <c r="C230" s="7"/>
      <c r="D230" s="131"/>
      <c r="E230" s="131"/>
      <c r="F230" s="131"/>
      <c r="G230" s="131"/>
      <c r="H230" s="131"/>
      <c r="I230" s="131"/>
      <c r="J230" s="131"/>
      <c r="K230" s="131"/>
      <c r="L230" s="131"/>
      <c r="M230" s="131"/>
      <c r="N230" s="131"/>
      <c r="O230" s="131"/>
      <c r="P230" s="131"/>
    </row>
    <row r="231" spans="1:16" ht="30" customHeight="1" thickBot="1">
      <c r="A231" s="346" t="s">
        <v>317</v>
      </c>
      <c r="B231" s="346"/>
      <c r="C231" s="346"/>
      <c r="D231" s="346"/>
      <c r="E231" s="346"/>
      <c r="F231" s="346"/>
      <c r="G231" s="346"/>
      <c r="H231" s="346"/>
      <c r="I231" s="346"/>
      <c r="J231" s="346"/>
      <c r="K231" s="346"/>
      <c r="L231" s="346"/>
      <c r="M231" s="346"/>
      <c r="N231" s="346"/>
      <c r="O231" s="346"/>
      <c r="P231" s="346"/>
    </row>
    <row r="232" spans="1:16" ht="20.149999999999999" customHeight="1" thickBot="1">
      <c r="A232" s="347" t="s">
        <v>318</v>
      </c>
      <c r="B232" s="348"/>
      <c r="C232" s="348"/>
      <c r="D232" s="348"/>
      <c r="E232" s="349"/>
      <c r="F232" s="350"/>
      <c r="G232" s="158" t="s">
        <v>319</v>
      </c>
      <c r="H232" s="134" t="str">
        <f>IF(E232="","いない場合はゼロを入力してください","")</f>
        <v>いない場合はゼロを入力してください</v>
      </c>
      <c r="I232" s="3"/>
      <c r="J232" s="3"/>
      <c r="K232" s="3"/>
      <c r="L232" s="3"/>
      <c r="M232" s="3"/>
      <c r="N232" s="3"/>
      <c r="O232" s="3"/>
      <c r="P232" s="3"/>
    </row>
    <row r="233" spans="1:16" ht="8.5" customHeight="1">
      <c r="A233" s="149"/>
      <c r="B233" s="7"/>
      <c r="C233" s="7"/>
      <c r="D233" s="149"/>
      <c r="E233" s="149"/>
      <c r="F233" s="149"/>
      <c r="G233" s="149"/>
      <c r="H233" s="149"/>
      <c r="I233" s="149"/>
      <c r="J233" s="149"/>
      <c r="K233" s="149"/>
      <c r="L233" s="149"/>
      <c r="M233" s="149"/>
      <c r="N233" s="149"/>
      <c r="O233" s="149"/>
      <c r="P233" s="149"/>
    </row>
    <row r="234" spans="1:16" ht="30" customHeight="1">
      <c r="A234" s="4" t="s">
        <v>471</v>
      </c>
      <c r="B234" s="4"/>
      <c r="C234" s="4"/>
      <c r="D234" s="4"/>
      <c r="E234" s="4"/>
      <c r="F234" s="4"/>
      <c r="G234" s="4"/>
      <c r="H234" s="4"/>
      <c r="I234" s="4"/>
      <c r="J234" s="4"/>
      <c r="K234" s="4"/>
      <c r="L234" s="4"/>
      <c r="M234" s="4"/>
      <c r="N234" s="4"/>
      <c r="O234" s="4"/>
      <c r="P234" s="4"/>
    </row>
    <row r="235" spans="1:16" ht="30" customHeight="1" thickBot="1">
      <c r="A235" s="145" t="s">
        <v>569</v>
      </c>
      <c r="B235" s="145"/>
      <c r="C235" s="145"/>
      <c r="D235" s="145"/>
      <c r="E235" s="145"/>
      <c r="F235" s="145"/>
      <c r="H235" s="145"/>
      <c r="I235" s="174" t="str">
        <f>IF(COUNTIF(A236:A237,"✓")=1,"","どちらか一つにチェック")</f>
        <v>どちらか一つにチェック</v>
      </c>
      <c r="J235" s="145"/>
      <c r="K235" s="145"/>
      <c r="L235" s="182"/>
      <c r="M235" s="145"/>
      <c r="N235" s="171" t="str">
        <f>IF(L235&lt;O239,"←(2)より少ない人数になっています","")</f>
        <v/>
      </c>
      <c r="O235" s="145"/>
      <c r="P235" s="145"/>
    </row>
    <row r="236" spans="1:16" ht="20.149999999999999" customHeight="1">
      <c r="A236" s="175"/>
      <c r="B236" s="351" t="s">
        <v>472</v>
      </c>
      <c r="C236" s="352"/>
      <c r="D236" s="352"/>
      <c r="E236" s="352"/>
      <c r="F236" s="353"/>
      <c r="G236" s="174"/>
      <c r="H236" s="170" t="str">
        <f>IF(A236="✓","⇒（２）を回答してください","")</f>
        <v/>
      </c>
      <c r="I236" s="22"/>
      <c r="J236" s="1"/>
    </row>
    <row r="237" spans="1:16" ht="20.149999999999999" customHeight="1" thickBot="1">
      <c r="A237" s="176"/>
      <c r="B237" s="383" t="s">
        <v>320</v>
      </c>
      <c r="C237" s="384"/>
      <c r="D237" s="384"/>
      <c r="E237" s="384"/>
      <c r="F237" s="385"/>
      <c r="G237" s="174"/>
      <c r="H237" s="170" t="str">
        <f>IF(A237="✓","⇒調査は終了です。","")</f>
        <v/>
      </c>
      <c r="I237" s="22"/>
      <c r="J237" s="1"/>
    </row>
    <row r="238" spans="1:16" s="172" customFormat="1" ht="14.25" customHeight="1">
      <c r="A238" s="156"/>
      <c r="B238" s="183"/>
      <c r="C238" s="183"/>
      <c r="D238" s="183"/>
      <c r="E238" s="183"/>
      <c r="F238" s="183"/>
      <c r="G238" s="22"/>
      <c r="H238" s="22"/>
      <c r="I238" s="22"/>
      <c r="J238" s="1"/>
      <c r="K238" s="1"/>
      <c r="L238" s="1"/>
    </row>
    <row r="239" spans="1:16" ht="36.75" customHeight="1" thickBot="1">
      <c r="A239" s="365" t="s">
        <v>570</v>
      </c>
      <c r="B239" s="365"/>
      <c r="C239" s="365"/>
      <c r="D239" s="365"/>
      <c r="E239" s="365"/>
      <c r="F239" s="365"/>
      <c r="G239" s="365"/>
      <c r="H239" s="365"/>
      <c r="I239" s="365"/>
      <c r="J239" s="365"/>
      <c r="K239" s="365"/>
      <c r="L239" s="365"/>
      <c r="M239" s="365"/>
      <c r="N239" s="365"/>
      <c r="O239" s="365"/>
      <c r="P239" s="365"/>
    </row>
    <row r="240" spans="1:16" s="172" customFormat="1" ht="20.149999999999999" customHeight="1">
      <c r="A240" s="188"/>
      <c r="B240" s="396" t="s">
        <v>571</v>
      </c>
      <c r="C240" s="397"/>
      <c r="D240" s="397"/>
      <c r="E240" s="397"/>
      <c r="F240" s="397"/>
      <c r="G240" s="398"/>
      <c r="H240" s="22"/>
      <c r="I240" s="22"/>
      <c r="J240" s="1"/>
    </row>
    <row r="241" spans="1:18" s="172" customFormat="1" ht="20.149999999999999" customHeight="1">
      <c r="A241" s="189"/>
      <c r="B241" s="399" t="s">
        <v>572</v>
      </c>
      <c r="C241" s="400"/>
      <c r="D241" s="400"/>
      <c r="E241" s="400"/>
      <c r="F241" s="400"/>
      <c r="G241" s="401"/>
      <c r="H241" s="22"/>
      <c r="I241" s="318" t="s">
        <v>398</v>
      </c>
      <c r="J241" s="1"/>
    </row>
    <row r="242" spans="1:18" s="172" customFormat="1" ht="20.149999999999999" customHeight="1" thickBot="1">
      <c r="A242" s="187"/>
      <c r="B242" s="197" t="s">
        <v>157</v>
      </c>
      <c r="C242" s="195" t="s">
        <v>396</v>
      </c>
      <c r="D242" s="402"/>
      <c r="E242" s="402"/>
      <c r="F242" s="402"/>
      <c r="G242" s="196" t="s">
        <v>397</v>
      </c>
      <c r="H242" s="22"/>
      <c r="I242" s="22"/>
      <c r="J242" s="1"/>
    </row>
    <row r="243" spans="1:18" s="172" customFormat="1" ht="12.75" customHeight="1">
      <c r="A243" s="146"/>
      <c r="B243" s="146"/>
      <c r="C243" s="146"/>
      <c r="D243" s="146"/>
      <c r="E243" s="146"/>
      <c r="F243" s="146"/>
      <c r="G243" s="146"/>
      <c r="H243" s="146"/>
      <c r="I243" s="146"/>
      <c r="J243" s="146"/>
      <c r="K243" s="146"/>
      <c r="L243" s="146"/>
      <c r="M243" s="146"/>
      <c r="N243" s="146"/>
      <c r="O243" s="146"/>
      <c r="P243" s="146"/>
    </row>
    <row r="244" spans="1:18" s="172" customFormat="1" ht="36.75" customHeight="1">
      <c r="A244" s="365" t="s">
        <v>573</v>
      </c>
      <c r="B244" s="365"/>
      <c r="C244" s="365"/>
      <c r="D244" s="365"/>
      <c r="E244" s="365"/>
      <c r="F244" s="365"/>
      <c r="G244" s="365"/>
      <c r="H244" s="365"/>
      <c r="I244" s="365"/>
      <c r="J244" s="365"/>
      <c r="K244" s="365"/>
      <c r="L244" s="365"/>
      <c r="M244" s="365"/>
      <c r="N244" s="365"/>
      <c r="O244" s="365"/>
      <c r="P244" s="365"/>
    </row>
    <row r="245" spans="1:18" s="172" customFormat="1" ht="16.5" customHeight="1" thickBot="1">
      <c r="A245" s="146"/>
      <c r="B245" s="146"/>
      <c r="C245" s="146"/>
      <c r="D245" s="146"/>
      <c r="E245" s="146"/>
      <c r="F245" s="146"/>
      <c r="G245" s="146"/>
      <c r="H245" s="146"/>
      <c r="I245" s="146"/>
      <c r="J245" s="146"/>
      <c r="K245" s="146"/>
      <c r="L245" s="146"/>
      <c r="M245" s="146"/>
      <c r="N245" s="146"/>
      <c r="O245" s="146"/>
      <c r="P245" s="146"/>
    </row>
    <row r="246" spans="1:18" s="172" customFormat="1" ht="36" customHeight="1">
      <c r="A246" s="386"/>
      <c r="B246" s="387"/>
      <c r="C246" s="387"/>
      <c r="D246" s="387"/>
      <c r="E246" s="387"/>
      <c r="F246" s="387"/>
      <c r="G246" s="387"/>
      <c r="H246" s="387"/>
      <c r="I246" s="388"/>
      <c r="J246" s="180" t="s">
        <v>321</v>
      </c>
      <c r="K246" s="181" t="s">
        <v>322</v>
      </c>
      <c r="M246" s="146"/>
      <c r="N246" s="146"/>
      <c r="O246" s="146"/>
      <c r="P246" s="146"/>
    </row>
    <row r="247" spans="1:18" s="172" customFormat="1" ht="23.25" customHeight="1">
      <c r="A247" s="392" t="s">
        <v>571</v>
      </c>
      <c r="B247" s="393"/>
      <c r="C247" s="393"/>
      <c r="D247" s="393"/>
      <c r="E247" s="393"/>
      <c r="F247" s="393"/>
      <c r="G247" s="393"/>
      <c r="H247" s="393"/>
      <c r="I247" s="394"/>
      <c r="J247" s="191"/>
      <c r="K247" s="192"/>
      <c r="L247" s="174" t="str">
        <f>IF(COUNTIF(J247:K247,"✓")=1,"","どちらか一つにチェック")</f>
        <v>どちらか一つにチェック</v>
      </c>
      <c r="M247" s="199"/>
      <c r="N247" s="199"/>
      <c r="O247" s="146"/>
      <c r="P247" s="146"/>
    </row>
    <row r="248" spans="1:18" s="172" customFormat="1" ht="23.25" customHeight="1">
      <c r="A248" s="389" t="s">
        <v>572</v>
      </c>
      <c r="B248" s="390"/>
      <c r="C248" s="390"/>
      <c r="D248" s="390"/>
      <c r="E248" s="390"/>
      <c r="F248" s="390"/>
      <c r="G248" s="390"/>
      <c r="H248" s="390"/>
      <c r="I248" s="391"/>
      <c r="J248" s="191"/>
      <c r="K248" s="192"/>
      <c r="L248" s="174" t="str">
        <f>IF(COUNTIF(J248:K248,"✓")=1,"","どちらか一つにチェック")</f>
        <v>どちらか一つにチェック</v>
      </c>
      <c r="M248" s="199"/>
      <c r="N248" s="199"/>
      <c r="O248" s="146"/>
      <c r="P248" s="146"/>
    </row>
    <row r="249" spans="1:18" s="172" customFormat="1" ht="23.25" customHeight="1" thickBot="1">
      <c r="A249" s="177" t="s">
        <v>323</v>
      </c>
      <c r="B249" s="178"/>
      <c r="C249" s="395"/>
      <c r="D249" s="395"/>
      <c r="E249" s="395"/>
      <c r="F249" s="395"/>
      <c r="G249" s="395"/>
      <c r="H249" s="395"/>
      <c r="I249" s="179" t="s">
        <v>324</v>
      </c>
      <c r="J249" s="193"/>
      <c r="K249" s="194"/>
      <c r="L249" s="198"/>
      <c r="M249" s="199"/>
      <c r="N249" s="199"/>
      <c r="O249" s="146"/>
      <c r="P249" s="146"/>
    </row>
    <row r="250" spans="1:18" s="172" customFormat="1" ht="12" customHeight="1">
      <c r="A250" s="184"/>
      <c r="B250" s="184"/>
      <c r="C250" s="126"/>
      <c r="D250" s="126"/>
      <c r="E250" s="126"/>
      <c r="F250" s="126"/>
      <c r="G250" s="126"/>
      <c r="H250" s="126"/>
      <c r="I250" s="184"/>
      <c r="J250" s="185"/>
      <c r="K250" s="185"/>
      <c r="L250" s="186"/>
      <c r="M250" s="146"/>
      <c r="N250" s="146"/>
      <c r="O250" s="146"/>
      <c r="P250" s="146"/>
    </row>
    <row r="251" spans="1:18" ht="34.5" customHeight="1">
      <c r="A251" s="370" t="s">
        <v>275</v>
      </c>
      <c r="B251" s="370"/>
      <c r="C251" s="370"/>
      <c r="D251" s="370"/>
      <c r="E251" s="370"/>
      <c r="F251" s="370"/>
      <c r="G251" s="370"/>
      <c r="H251" s="370"/>
      <c r="I251" s="370"/>
      <c r="J251" s="370"/>
      <c r="K251" s="370"/>
      <c r="L251" s="370"/>
      <c r="M251" s="370"/>
      <c r="N251" s="370"/>
      <c r="O251" s="370"/>
      <c r="P251" s="370"/>
      <c r="Q251" s="143"/>
      <c r="R251" s="143"/>
    </row>
    <row r="252" spans="1:18" ht="39.65" customHeight="1">
      <c r="J252" s="453"/>
      <c r="K252" s="453"/>
      <c r="L252" s="453"/>
      <c r="M252" s="453"/>
      <c r="N252" s="453"/>
      <c r="O252" s="453"/>
      <c r="P252" s="453"/>
    </row>
  </sheetData>
  <mergeCells count="463">
    <mergeCell ref="I192:P192"/>
    <mergeCell ref="A37:B37"/>
    <mergeCell ref="A140:I140"/>
    <mergeCell ref="I142:P142"/>
    <mergeCell ref="A181:J181"/>
    <mergeCell ref="A190:J190"/>
    <mergeCell ref="X106:Y106"/>
    <mergeCell ref="L88:N88"/>
    <mergeCell ref="O88:P88"/>
    <mergeCell ref="L90:N90"/>
    <mergeCell ref="O90:P90"/>
    <mergeCell ref="L91:N91"/>
    <mergeCell ref="O91:P91"/>
    <mergeCell ref="L92:N92"/>
    <mergeCell ref="O92:P92"/>
    <mergeCell ref="L89:N89"/>
    <mergeCell ref="O89:P89"/>
    <mergeCell ref="L93:N93"/>
    <mergeCell ref="O93:P93"/>
    <mergeCell ref="L94:N94"/>
    <mergeCell ref="O94:P94"/>
    <mergeCell ref="L95:N95"/>
    <mergeCell ref="O95:P95"/>
    <mergeCell ref="D97:E97"/>
    <mergeCell ref="G97:H97"/>
    <mergeCell ref="L96:N96"/>
    <mergeCell ref="O96:P96"/>
    <mergeCell ref="L97:N97"/>
    <mergeCell ref="O97:P97"/>
    <mergeCell ref="I97:J97"/>
    <mergeCell ref="X104:Y104"/>
    <mergeCell ref="G92:H92"/>
    <mergeCell ref="I92:J92"/>
    <mergeCell ref="A101:P103"/>
    <mergeCell ref="A100:P100"/>
    <mergeCell ref="G94:H94"/>
    <mergeCell ref="I94:J94"/>
    <mergeCell ref="G95:H95"/>
    <mergeCell ref="I95:J95"/>
    <mergeCell ref="B96:C96"/>
    <mergeCell ref="B97:C97"/>
    <mergeCell ref="G93:H93"/>
    <mergeCell ref="I93:J93"/>
    <mergeCell ref="D96:E96"/>
    <mergeCell ref="G96:H96"/>
    <mergeCell ref="I96:J96"/>
    <mergeCell ref="B95:C95"/>
    <mergeCell ref="D95:E95"/>
    <mergeCell ref="B90:C90"/>
    <mergeCell ref="D90:E90"/>
    <mergeCell ref="G90:H90"/>
    <mergeCell ref="I90:J90"/>
    <mergeCell ref="B88:C88"/>
    <mergeCell ref="D88:E88"/>
    <mergeCell ref="B89:C89"/>
    <mergeCell ref="D89:E89"/>
    <mergeCell ref="B94:C94"/>
    <mergeCell ref="D94:E94"/>
    <mergeCell ref="B92:C92"/>
    <mergeCell ref="D92:E92"/>
    <mergeCell ref="B93:C93"/>
    <mergeCell ref="D93:E93"/>
    <mergeCell ref="G69:H69"/>
    <mergeCell ref="I69:J69"/>
    <mergeCell ref="G66:H66"/>
    <mergeCell ref="I66:J66"/>
    <mergeCell ref="B87:C87"/>
    <mergeCell ref="D87:E87"/>
    <mergeCell ref="B91:C91"/>
    <mergeCell ref="D91:E91"/>
    <mergeCell ref="G91:H91"/>
    <mergeCell ref="I91:J91"/>
    <mergeCell ref="D78:G78"/>
    <mergeCell ref="D79:G79"/>
    <mergeCell ref="G85:H85"/>
    <mergeCell ref="I85:J85"/>
    <mergeCell ref="G86:H86"/>
    <mergeCell ref="I86:J86"/>
    <mergeCell ref="G87:H87"/>
    <mergeCell ref="I87:J87"/>
    <mergeCell ref="G88:H88"/>
    <mergeCell ref="I88:J88"/>
    <mergeCell ref="G89:H89"/>
    <mergeCell ref="I89:J89"/>
    <mergeCell ref="B66:C66"/>
    <mergeCell ref="D66:E66"/>
    <mergeCell ref="K65:M65"/>
    <mergeCell ref="N65:P65"/>
    <mergeCell ref="B57:C57"/>
    <mergeCell ref="B62:C62"/>
    <mergeCell ref="D62:E62"/>
    <mergeCell ref="D58:E58"/>
    <mergeCell ref="B59:C59"/>
    <mergeCell ref="D59:E59"/>
    <mergeCell ref="B60:C60"/>
    <mergeCell ref="D60:E60"/>
    <mergeCell ref="B61:C61"/>
    <mergeCell ref="D61:E61"/>
    <mergeCell ref="B64:C64"/>
    <mergeCell ref="D64:E64"/>
    <mergeCell ref="B65:C65"/>
    <mergeCell ref="D65:E65"/>
    <mergeCell ref="G59:H59"/>
    <mergeCell ref="I59:J59"/>
    <mergeCell ref="K59:M59"/>
    <mergeCell ref="L85:N85"/>
    <mergeCell ref="L86:N86"/>
    <mergeCell ref="G64:H64"/>
    <mergeCell ref="I64:J64"/>
    <mergeCell ref="K64:M64"/>
    <mergeCell ref="B69:C69"/>
    <mergeCell ref="D69:E69"/>
    <mergeCell ref="A72:P72"/>
    <mergeCell ref="K69:M69"/>
    <mergeCell ref="N69:P69"/>
    <mergeCell ref="G67:H67"/>
    <mergeCell ref="I67:J67"/>
    <mergeCell ref="K67:M67"/>
    <mergeCell ref="N67:P67"/>
    <mergeCell ref="G68:H68"/>
    <mergeCell ref="I68:J68"/>
    <mergeCell ref="K68:M68"/>
    <mergeCell ref="N68:P68"/>
    <mergeCell ref="B67:C67"/>
    <mergeCell ref="D67:E67"/>
    <mergeCell ref="B68:C68"/>
    <mergeCell ref="N64:P64"/>
    <mergeCell ref="G65:H65"/>
    <mergeCell ref="I65:J65"/>
    <mergeCell ref="D85:E85"/>
    <mergeCell ref="D68:E68"/>
    <mergeCell ref="O87:P87"/>
    <mergeCell ref="B46:C46"/>
    <mergeCell ref="D46:G46"/>
    <mergeCell ref="B48:C48"/>
    <mergeCell ref="D48:G48"/>
    <mergeCell ref="B52:D53"/>
    <mergeCell ref="B51:D51"/>
    <mergeCell ref="G60:H60"/>
    <mergeCell ref="I60:J60"/>
    <mergeCell ref="K60:M60"/>
    <mergeCell ref="M52:N52"/>
    <mergeCell ref="G57:H57"/>
    <mergeCell ref="I57:J57"/>
    <mergeCell ref="K57:M57"/>
    <mergeCell ref="N57:P57"/>
    <mergeCell ref="G58:H58"/>
    <mergeCell ref="I58:J58"/>
    <mergeCell ref="K58:M58"/>
    <mergeCell ref="N58:P58"/>
    <mergeCell ref="O85:P85"/>
    <mergeCell ref="B79:C79"/>
    <mergeCell ref="B78:C78"/>
    <mergeCell ref="A109:D109"/>
    <mergeCell ref="E109:F109"/>
    <mergeCell ref="A147:P147"/>
    <mergeCell ref="N59:P59"/>
    <mergeCell ref="D57:E57"/>
    <mergeCell ref="B58:C58"/>
    <mergeCell ref="N60:P60"/>
    <mergeCell ref="G61:H61"/>
    <mergeCell ref="G63:H63"/>
    <mergeCell ref="I63:J63"/>
    <mergeCell ref="K63:M63"/>
    <mergeCell ref="N63:P63"/>
    <mergeCell ref="I61:J61"/>
    <mergeCell ref="K61:M61"/>
    <mergeCell ref="N61:P61"/>
    <mergeCell ref="G62:H62"/>
    <mergeCell ref="I62:J62"/>
    <mergeCell ref="K62:M62"/>
    <mergeCell ref="N62:P62"/>
    <mergeCell ref="B63:C63"/>
    <mergeCell ref="D63:E63"/>
    <mergeCell ref="B86:C86"/>
    <mergeCell ref="D86:E86"/>
    <mergeCell ref="B85:C85"/>
    <mergeCell ref="L87:N87"/>
    <mergeCell ref="O86:P86"/>
    <mergeCell ref="A40:D42"/>
    <mergeCell ref="E40:F40"/>
    <mergeCell ref="E51:F51"/>
    <mergeCell ref="E52:F52"/>
    <mergeCell ref="G52:H52"/>
    <mergeCell ref="I52:J52"/>
    <mergeCell ref="K52:L52"/>
    <mergeCell ref="E53:F53"/>
    <mergeCell ref="G53:H53"/>
    <mergeCell ref="B47:C47"/>
    <mergeCell ref="D47:G47"/>
    <mergeCell ref="M41:N41"/>
    <mergeCell ref="M42:N42"/>
    <mergeCell ref="O41:P41"/>
    <mergeCell ref="O42:P42"/>
    <mergeCell ref="O52:P52"/>
    <mergeCell ref="I53:J53"/>
    <mergeCell ref="K53:L53"/>
    <mergeCell ref="M53:N53"/>
    <mergeCell ref="O53:P53"/>
    <mergeCell ref="K66:M66"/>
    <mergeCell ref="N66:P66"/>
    <mergeCell ref="B22:D22"/>
    <mergeCell ref="B23:D23"/>
    <mergeCell ref="B24:D24"/>
    <mergeCell ref="B25:D25"/>
    <mergeCell ref="A22:A26"/>
    <mergeCell ref="E24:F24"/>
    <mergeCell ref="G24:H24"/>
    <mergeCell ref="I24:J24"/>
    <mergeCell ref="A2:P2"/>
    <mergeCell ref="M9:P9"/>
    <mergeCell ref="A5:D5"/>
    <mergeCell ref="E5:P5"/>
    <mergeCell ref="A6:D6"/>
    <mergeCell ref="E6:P6"/>
    <mergeCell ref="M22:N22"/>
    <mergeCell ref="M23:N23"/>
    <mergeCell ref="M24:N24"/>
    <mergeCell ref="K24:L24"/>
    <mergeCell ref="E22:F22"/>
    <mergeCell ref="G22:H22"/>
    <mergeCell ref="I22:J22"/>
    <mergeCell ref="K22:L22"/>
    <mergeCell ref="E20:H20"/>
    <mergeCell ref="I20:L20"/>
    <mergeCell ref="A3:D3"/>
    <mergeCell ref="A4:D4"/>
    <mergeCell ref="E3:P3"/>
    <mergeCell ref="E4:P4"/>
    <mergeCell ref="K9:L9"/>
    <mergeCell ref="M15:P15"/>
    <mergeCell ref="A20:D21"/>
    <mergeCell ref="E15:J15"/>
    <mergeCell ref="K15:L15"/>
    <mergeCell ref="E21:F21"/>
    <mergeCell ref="G21:H21"/>
    <mergeCell ref="I21:J21"/>
    <mergeCell ref="A13:D13"/>
    <mergeCell ref="E13:P13"/>
    <mergeCell ref="A14:D14"/>
    <mergeCell ref="E14:J14"/>
    <mergeCell ref="K14:L14"/>
    <mergeCell ref="M14:P14"/>
    <mergeCell ref="K21:L21"/>
    <mergeCell ref="M21:N21"/>
    <mergeCell ref="O21:P21"/>
    <mergeCell ref="M20:P20"/>
    <mergeCell ref="A19:P19"/>
    <mergeCell ref="A15:D15"/>
    <mergeCell ref="E23:F23"/>
    <mergeCell ref="G23:H23"/>
    <mergeCell ref="I23:J23"/>
    <mergeCell ref="K23:L23"/>
    <mergeCell ref="K25:L25"/>
    <mergeCell ref="M25:N25"/>
    <mergeCell ref="M27:N27"/>
    <mergeCell ref="O22:P22"/>
    <mergeCell ref="O23:P23"/>
    <mergeCell ref="O24:P24"/>
    <mergeCell ref="O25:P25"/>
    <mergeCell ref="O27:P27"/>
    <mergeCell ref="O26:P26"/>
    <mergeCell ref="A33:B33"/>
    <mergeCell ref="C33:D33"/>
    <mergeCell ref="A30:P30"/>
    <mergeCell ref="A34:B34"/>
    <mergeCell ref="C34:D34"/>
    <mergeCell ref="E25:F25"/>
    <mergeCell ref="G25:H25"/>
    <mergeCell ref="A27:D27"/>
    <mergeCell ref="E27:F27"/>
    <mergeCell ref="G27:H27"/>
    <mergeCell ref="I27:J27"/>
    <mergeCell ref="K27:L27"/>
    <mergeCell ref="A32:P32"/>
    <mergeCell ref="E26:F26"/>
    <mergeCell ref="I25:J25"/>
    <mergeCell ref="G26:H26"/>
    <mergeCell ref="I26:J26"/>
    <mergeCell ref="K26:L26"/>
    <mergeCell ref="B26:D26"/>
    <mergeCell ref="M26:N26"/>
    <mergeCell ref="E34:F34"/>
    <mergeCell ref="G34:H34"/>
    <mergeCell ref="I34:J34"/>
    <mergeCell ref="K34:L34"/>
    <mergeCell ref="K33:L33"/>
    <mergeCell ref="I33:J33"/>
    <mergeCell ref="G33:H33"/>
    <mergeCell ref="E33:F33"/>
    <mergeCell ref="E41:F41"/>
    <mergeCell ref="G41:H41"/>
    <mergeCell ref="I41:J41"/>
    <mergeCell ref="K41:L41"/>
    <mergeCell ref="E42:F42"/>
    <mergeCell ref="G42:H42"/>
    <mergeCell ref="I42:J42"/>
    <mergeCell ref="K42:L42"/>
    <mergeCell ref="J252:P252"/>
    <mergeCell ref="B182:I182"/>
    <mergeCell ref="B204:I204"/>
    <mergeCell ref="B186:I186"/>
    <mergeCell ref="A208:P208"/>
    <mergeCell ref="A212:P212"/>
    <mergeCell ref="B192:G192"/>
    <mergeCell ref="A121:C121"/>
    <mergeCell ref="E121:G121"/>
    <mergeCell ref="I121:K121"/>
    <mergeCell ref="M121:O121"/>
    <mergeCell ref="E159:F159"/>
    <mergeCell ref="B200:I200"/>
    <mergeCell ref="A124:C124"/>
    <mergeCell ref="E124:G124"/>
    <mergeCell ref="I124:K125"/>
    <mergeCell ref="L124:L125"/>
    <mergeCell ref="B191:G191"/>
    <mergeCell ref="A127:C127"/>
    <mergeCell ref="B141:G141"/>
    <mergeCell ref="B142:G142"/>
    <mergeCell ref="E125:G125"/>
    <mergeCell ref="D137:H137"/>
    <mergeCell ref="B137:C137"/>
    <mergeCell ref="I176:M176"/>
    <mergeCell ref="I116:K116"/>
    <mergeCell ref="M116:O116"/>
    <mergeCell ref="M124:O124"/>
    <mergeCell ref="M125:O125"/>
    <mergeCell ref="B151:I151"/>
    <mergeCell ref="B152:I152"/>
    <mergeCell ref="A159:D159"/>
    <mergeCell ref="B133:I133"/>
    <mergeCell ref="B135:I135"/>
    <mergeCell ref="B136:I136"/>
    <mergeCell ref="B153:I153"/>
    <mergeCell ref="B154:I154"/>
    <mergeCell ref="B155:C155"/>
    <mergeCell ref="A164:E165"/>
    <mergeCell ref="F164:F165"/>
    <mergeCell ref="I164:M165"/>
    <mergeCell ref="A123:C123"/>
    <mergeCell ref="E123:G123"/>
    <mergeCell ref="I123:K123"/>
    <mergeCell ref="M123:O123"/>
    <mergeCell ref="A120:C120"/>
    <mergeCell ref="E120:G120"/>
    <mergeCell ref="I120:K120"/>
    <mergeCell ref="A114:H114"/>
    <mergeCell ref="I114:P114"/>
    <mergeCell ref="A115:C115"/>
    <mergeCell ref="E115:G115"/>
    <mergeCell ref="I115:K115"/>
    <mergeCell ref="M115:O115"/>
    <mergeCell ref="I117:K117"/>
    <mergeCell ref="M117:O117"/>
    <mergeCell ref="A122:C122"/>
    <mergeCell ref="E122:G122"/>
    <mergeCell ref="A117:C117"/>
    <mergeCell ref="E117:G117"/>
    <mergeCell ref="M120:O120"/>
    <mergeCell ref="I118:K118"/>
    <mergeCell ref="M118:O118"/>
    <mergeCell ref="A119:C119"/>
    <mergeCell ref="E119:G119"/>
    <mergeCell ref="I119:K119"/>
    <mergeCell ref="M119:O119"/>
    <mergeCell ref="I122:K122"/>
    <mergeCell ref="M122:O122"/>
    <mergeCell ref="B132:I132"/>
    <mergeCell ref="A125:C125"/>
    <mergeCell ref="E127:G127"/>
    <mergeCell ref="B130:I130"/>
    <mergeCell ref="D187:H187"/>
    <mergeCell ref="A163:P163"/>
    <mergeCell ref="B202:I202"/>
    <mergeCell ref="A166:E166"/>
    <mergeCell ref="A167:E167"/>
    <mergeCell ref="A168:E168"/>
    <mergeCell ref="N164:N165"/>
    <mergeCell ref="H164:H165"/>
    <mergeCell ref="P164:P165"/>
    <mergeCell ref="A176:E176"/>
    <mergeCell ref="I166:M166"/>
    <mergeCell ref="I167:M167"/>
    <mergeCell ref="I168:M168"/>
    <mergeCell ref="I169:M169"/>
    <mergeCell ref="I170:M170"/>
    <mergeCell ref="I171:M171"/>
    <mergeCell ref="I172:M172"/>
    <mergeCell ref="I173:M173"/>
    <mergeCell ref="I174:M174"/>
    <mergeCell ref="I175:M175"/>
    <mergeCell ref="A1:P1"/>
    <mergeCell ref="I221:K221"/>
    <mergeCell ref="B209:E209"/>
    <mergeCell ref="B210:E210"/>
    <mergeCell ref="B134:I134"/>
    <mergeCell ref="B193:G193"/>
    <mergeCell ref="A197:P197"/>
    <mergeCell ref="B201:I201"/>
    <mergeCell ref="B143:G143"/>
    <mergeCell ref="A129:P129"/>
    <mergeCell ref="A118:C118"/>
    <mergeCell ref="A157:P157"/>
    <mergeCell ref="A216:P216"/>
    <mergeCell ref="A218:D218"/>
    <mergeCell ref="E218:F218"/>
    <mergeCell ref="A221:C221"/>
    <mergeCell ref="A107:P107"/>
    <mergeCell ref="B150:I150"/>
    <mergeCell ref="E221:G221"/>
    <mergeCell ref="A169:E169"/>
    <mergeCell ref="A170:E170"/>
    <mergeCell ref="A116:C116"/>
    <mergeCell ref="E116:G116"/>
    <mergeCell ref="B203:I203"/>
    <mergeCell ref="A251:P251"/>
    <mergeCell ref="A222:C222"/>
    <mergeCell ref="E222:G222"/>
    <mergeCell ref="A223:C223"/>
    <mergeCell ref="E223:G223"/>
    <mergeCell ref="I223:K223"/>
    <mergeCell ref="A224:C224"/>
    <mergeCell ref="E224:G224"/>
    <mergeCell ref="I224:K224"/>
    <mergeCell ref="A225:C225"/>
    <mergeCell ref="E225:G225"/>
    <mergeCell ref="I225:K225"/>
    <mergeCell ref="A226:C226"/>
    <mergeCell ref="E226:G226"/>
    <mergeCell ref="B237:F237"/>
    <mergeCell ref="A239:P239"/>
    <mergeCell ref="A246:I246"/>
    <mergeCell ref="A248:I248"/>
    <mergeCell ref="A247:I247"/>
    <mergeCell ref="C249:H249"/>
    <mergeCell ref="A244:P244"/>
    <mergeCell ref="B240:G240"/>
    <mergeCell ref="B241:G241"/>
    <mergeCell ref="D242:F242"/>
    <mergeCell ref="D155:H155"/>
    <mergeCell ref="A73:P73"/>
    <mergeCell ref="I47:P49"/>
    <mergeCell ref="A231:P231"/>
    <mergeCell ref="A232:D232"/>
    <mergeCell ref="E232:F232"/>
    <mergeCell ref="B236:F236"/>
    <mergeCell ref="A171:E171"/>
    <mergeCell ref="A172:E172"/>
    <mergeCell ref="A173:E173"/>
    <mergeCell ref="A174:E174"/>
    <mergeCell ref="A175:E175"/>
    <mergeCell ref="I226:K226"/>
    <mergeCell ref="A228:P228"/>
    <mergeCell ref="A229:D229"/>
    <mergeCell ref="E229:F229"/>
    <mergeCell ref="B205:I205"/>
    <mergeCell ref="D206:H206"/>
    <mergeCell ref="B183:I183"/>
    <mergeCell ref="B184:I184"/>
    <mergeCell ref="B185:I185"/>
    <mergeCell ref="A180:P180"/>
    <mergeCell ref="A106:P106"/>
    <mergeCell ref="B131:I131"/>
  </mergeCells>
  <phoneticPr fontId="1"/>
  <conditionalFormatting sqref="D222:D226 H222:H226 L222:L225">
    <cfRule type="expression" dxfId="70" priority="152">
      <formula>AND($E$218&lt;&gt;"",$E$218=0)</formula>
    </cfRule>
  </conditionalFormatting>
  <conditionalFormatting sqref="L222:L226">
    <cfRule type="expression" dxfId="69" priority="151">
      <formula>AND($E$282&lt;&gt;"",$E$282=0)</formula>
    </cfRule>
  </conditionalFormatting>
  <conditionalFormatting sqref="D115:D125 D127 H115:H124 L115:L123 P115:P124">
    <cfRule type="expression" dxfId="68" priority="128">
      <formula>AND($E$109&lt;&gt;"",$E$109=0)</formula>
    </cfRule>
  </conditionalFormatting>
  <conditionalFormatting sqref="F166:H176 N166:P175">
    <cfRule type="expression" dxfId="67" priority="120">
      <formula>AND($E$159&lt;&gt;"",$E$159=0)</formula>
    </cfRule>
  </conditionalFormatting>
  <conditionalFormatting sqref="D155 A150:A155">
    <cfRule type="expression" dxfId="66" priority="119">
      <formula>OR($A$141="✓",$A$142="✓")</formula>
    </cfRule>
  </conditionalFormatting>
  <conditionalFormatting sqref="A147:P147">
    <cfRule type="expression" dxfId="65" priority="118">
      <formula>OR($A$142="✓",$A$143="✓")</formula>
    </cfRule>
  </conditionalFormatting>
  <conditionalFormatting sqref="A197:P197">
    <cfRule type="expression" dxfId="64" priority="117">
      <formula>OR($A$192="✓",$A$193="✓")</formula>
    </cfRule>
  </conditionalFormatting>
  <conditionalFormatting sqref="A200:A206 D206">
    <cfRule type="expression" dxfId="63" priority="116">
      <formula>OR($A$191="✓",$A$192="✓")</formula>
    </cfRule>
  </conditionalFormatting>
  <conditionalFormatting sqref="A213:A214">
    <cfRule type="expression" dxfId="62" priority="115">
      <formula>$A$209="✓"</formula>
    </cfRule>
  </conditionalFormatting>
  <conditionalFormatting sqref="A240:A242 D242 C249">
    <cfRule type="expression" dxfId="61" priority="114">
      <formula>$A$237="✓"</formula>
    </cfRule>
  </conditionalFormatting>
  <conditionalFormatting sqref="J247:K249">
    <cfRule type="expression" dxfId="60" priority="113">
      <formula>$A$237="✓"</formula>
    </cfRule>
  </conditionalFormatting>
  <conditionalFormatting sqref="G52:P53">
    <cfRule type="expression" dxfId="59" priority="91">
      <formula>$B$48="✓"</formula>
    </cfRule>
  </conditionalFormatting>
  <conditionalFormatting sqref="D61:E69">
    <cfRule type="expression" dxfId="58" priority="71">
      <formula>OR($B$47="✓",$B$48="✓")</formula>
    </cfRule>
  </conditionalFormatting>
  <conditionalFormatting sqref="N58:N69">
    <cfRule type="expression" dxfId="57" priority="69">
      <formula>I58="既卒"</formula>
    </cfRule>
  </conditionalFormatting>
  <conditionalFormatting sqref="K59:M59">
    <cfRule type="expression" dxfId="56" priority="64">
      <formula>$H$58="$X$64"</formula>
    </cfRule>
  </conditionalFormatting>
  <conditionalFormatting sqref="K60:M69">
    <cfRule type="expression" dxfId="55" priority="62">
      <formula>$H$58="$X$64"</formula>
    </cfRule>
  </conditionalFormatting>
  <conditionalFormatting sqref="B60:P69">
    <cfRule type="expression" dxfId="54" priority="58">
      <formula>OR($B$47="✓",$B$48="✓")</formula>
    </cfRule>
  </conditionalFormatting>
  <conditionalFormatting sqref="L86">
    <cfRule type="expression" dxfId="53" priority="153">
      <formula>#REF!="既卒"</formula>
    </cfRule>
  </conditionalFormatting>
  <conditionalFormatting sqref="L87:L88">
    <cfRule type="expression" dxfId="52" priority="36">
      <formula>#REF!="既卒"</formula>
    </cfRule>
  </conditionalFormatting>
  <conditionalFormatting sqref="L89:L96">
    <cfRule type="expression" dxfId="51" priority="35">
      <formula>#REF!="既卒"</formula>
    </cfRule>
  </conditionalFormatting>
  <conditionalFormatting sqref="L90:L96">
    <cfRule type="expression" dxfId="50" priority="34">
      <formula>#REF!="既卒"</formula>
    </cfRule>
  </conditionalFormatting>
  <conditionalFormatting sqref="L90:L96">
    <cfRule type="expression" dxfId="49" priority="33">
      <formula>#REF!="既卒"</formula>
    </cfRule>
  </conditionalFormatting>
  <conditionalFormatting sqref="L92">
    <cfRule type="expression" dxfId="48" priority="32">
      <formula>#REF!="既卒"</formula>
    </cfRule>
  </conditionalFormatting>
  <conditionalFormatting sqref="L93">
    <cfRule type="expression" dxfId="47" priority="31">
      <formula>#REF!="既卒"</formula>
    </cfRule>
  </conditionalFormatting>
  <conditionalFormatting sqref="L94">
    <cfRule type="expression" dxfId="46" priority="30">
      <formula>#REF!="既卒"</formula>
    </cfRule>
  </conditionalFormatting>
  <conditionalFormatting sqref="L95">
    <cfRule type="expression" dxfId="45" priority="29">
      <formula>#REF!="既卒"</formula>
    </cfRule>
  </conditionalFormatting>
  <conditionalFormatting sqref="L96">
    <cfRule type="expression" dxfId="44" priority="28">
      <formula>#REF!="既卒"</formula>
    </cfRule>
  </conditionalFormatting>
  <conditionalFormatting sqref="L97">
    <cfRule type="expression" dxfId="43" priority="27">
      <formula>#REF!="既卒"</formula>
    </cfRule>
  </conditionalFormatting>
  <conditionalFormatting sqref="O86:P87 B88:P97 K87:N87">
    <cfRule type="expression" dxfId="42" priority="25">
      <formula>$B$79="✓"</formula>
    </cfRule>
  </conditionalFormatting>
  <conditionalFormatting sqref="O86:P97">
    <cfRule type="expression" dxfId="41" priority="24">
      <formula>AND($I86&lt;&gt;"１年未満（新卒）",$I86&lt;&gt;"")</formula>
    </cfRule>
  </conditionalFormatting>
  <conditionalFormatting sqref="L87:N88">
    <cfRule type="expression" dxfId="40" priority="22">
      <formula>AND($K87="×",$K87&lt;&gt;"")</formula>
    </cfRule>
  </conditionalFormatting>
  <conditionalFormatting sqref="L89:L96">
    <cfRule type="expression" dxfId="39" priority="21">
      <formula>#REF!="既卒"</formula>
    </cfRule>
  </conditionalFormatting>
  <conditionalFormatting sqref="L89:N96">
    <cfRule type="expression" dxfId="38" priority="20">
      <formula>AND($K89="×",$K89&lt;&gt;"")</formula>
    </cfRule>
  </conditionalFormatting>
  <conditionalFormatting sqref="L90:L96">
    <cfRule type="expression" dxfId="37" priority="19">
      <formula>#REF!="既卒"</formula>
    </cfRule>
  </conditionalFormatting>
  <conditionalFormatting sqref="L90:N96">
    <cfRule type="expression" dxfId="36" priority="18">
      <formula>AND($K90="×",$K90&lt;&gt;"")</formula>
    </cfRule>
  </conditionalFormatting>
  <conditionalFormatting sqref="L90:L96">
    <cfRule type="expression" dxfId="35" priority="17">
      <formula>#REF!="既卒"</formula>
    </cfRule>
  </conditionalFormatting>
  <conditionalFormatting sqref="L90:N96">
    <cfRule type="expression" dxfId="34" priority="16">
      <formula>AND($K90="×",$K90&lt;&gt;"")</formula>
    </cfRule>
  </conditionalFormatting>
  <conditionalFormatting sqref="L92">
    <cfRule type="expression" dxfId="33" priority="15">
      <formula>#REF!="既卒"</formula>
    </cfRule>
  </conditionalFormatting>
  <conditionalFormatting sqref="L92:N92">
    <cfRule type="expression" dxfId="32" priority="14">
      <formula>AND($K92="×",$K92&lt;&gt;"")</formula>
    </cfRule>
  </conditionalFormatting>
  <conditionalFormatting sqref="L93">
    <cfRule type="expression" dxfId="31" priority="13">
      <formula>#REF!="既卒"</formula>
    </cfRule>
  </conditionalFormatting>
  <conditionalFormatting sqref="L93:N93">
    <cfRule type="expression" dxfId="30" priority="12">
      <formula>AND($K93="×",$K93&lt;&gt;"")</formula>
    </cfRule>
  </conditionalFormatting>
  <conditionalFormatting sqref="L94">
    <cfRule type="expression" dxfId="29" priority="11">
      <formula>#REF!="既卒"</formula>
    </cfRule>
  </conditionalFormatting>
  <conditionalFormatting sqref="L94:N94">
    <cfRule type="expression" dxfId="28" priority="10">
      <formula>AND($K94="×",$K94&lt;&gt;"")</formula>
    </cfRule>
  </conditionalFormatting>
  <conditionalFormatting sqref="L95">
    <cfRule type="expression" dxfId="27" priority="9">
      <formula>#REF!="既卒"</formula>
    </cfRule>
  </conditionalFormatting>
  <conditionalFormatting sqref="L95:N95">
    <cfRule type="expression" dxfId="26" priority="8">
      <formula>AND($K95="×",$K95&lt;&gt;"")</formula>
    </cfRule>
  </conditionalFormatting>
  <conditionalFormatting sqref="L96">
    <cfRule type="expression" dxfId="25" priority="7">
      <formula>#REF!="既卒"</formula>
    </cfRule>
  </conditionalFormatting>
  <conditionalFormatting sqref="L96:N96">
    <cfRule type="expression" dxfId="24" priority="6">
      <formula>AND($K96="×",$K96&lt;&gt;"")</formula>
    </cfRule>
  </conditionalFormatting>
  <conditionalFormatting sqref="L97">
    <cfRule type="expression" dxfId="23" priority="5">
      <formula>#REF!="既卒"</formula>
    </cfRule>
  </conditionalFormatting>
  <conditionalFormatting sqref="L97:N97">
    <cfRule type="expression" dxfId="22" priority="4">
      <formula>AND($K97="×",$K97&lt;&gt;"")</formula>
    </cfRule>
  </conditionalFormatting>
  <conditionalFormatting sqref="D137:H137 A130:A137">
    <cfRule type="expression" dxfId="21" priority="2">
      <formula>AND($E$109&lt;&gt;"",$E$109=0)</formula>
    </cfRule>
  </conditionalFormatting>
  <conditionalFormatting sqref="G41:P42">
    <cfRule type="expression" dxfId="20" priority="154">
      <formula>$A$37="✓"</formula>
    </cfRule>
  </conditionalFormatting>
  <dataValidations count="6">
    <dataValidation type="list" allowBlank="1" showInputMessage="1" showErrorMessage="1" sqref="A37 A191:A193 A141:A143 A182:A187 A209:A210 A130:A137 A200:A206 A213:A214 A236:A238 A240:A242 J247:K249 J250:L250 B46:B48 C46 C48 B78:C80 B98:C99 B82:C84 B56:C56 B104:C104 A150:A155" xr:uid="{11E623B3-5CBF-4F51-B910-ADF7D6840678}">
      <formula1>"✓"</formula1>
    </dataValidation>
    <dataValidation imeMode="off" allowBlank="1" showInputMessage="1" showErrorMessage="1" prompt="別シート「常勤換算表」で計算ができます" sqref="K27:L27 G27:H27 G22:H25 K22:L25" xr:uid="{A157976C-91F2-484A-96A8-68B4209E3ABC}"/>
    <dataValidation allowBlank="1" showInputMessage="1" showErrorMessage="1" promptTitle="入力不要" prompt="計算式が入っています" sqref="M22:P27 E26:L26 O43:P43 O54:P54 O75:P75 O70:P70" xr:uid="{5AC46277-91E4-49DC-96BD-0390275C4E35}"/>
    <dataValidation type="list" allowBlank="1" showInputMessage="1" showErrorMessage="1" sqref="H166:H176 P166:P175" xr:uid="{CAE12CA8-B39D-4C86-8BA8-100E83985B75}">
      <formula1>"○"</formula1>
    </dataValidation>
    <dataValidation imeMode="off" allowBlank="1" showInputMessage="1" showErrorMessage="1" sqref="E22:F25 E27:F27 I22:J25 I27:J27 G166:G176 G85 E232:F232 L235 E159:F159 E229:F229 H222:H226 D222:D226 E218:F218 L222:L226 P115:P124 E109:F109 D115:D125 D127 H115:H124 L115:L123 N43 J43 H43 L43 P40 E40:E42 O40:O42 J40 H40 M40:M43 L40 G40:G43 K40:K43 I40:I43 N40 N54 J54 H54 L54 P51 O51:O53 J51 H51 L51 N51 E51:E53 G75:N75 G51:G54 I51:I54 M51:M54 K51:K54 G70:N70 N57 K57 G57 I57 O166:O175" xr:uid="{98E9C8C3-5688-4BF2-A299-53192918BE6E}"/>
    <dataValidation type="list" imeMode="off" allowBlank="1" showInputMessage="1" prompt="日付データ（例：8/1）の入力でも可" sqref="M9:P9" xr:uid="{18AAE99C-3EA5-4F28-AA50-BE391D1FB7D7}">
      <formula1>"令和　　　年　　　月　　　日"</formula1>
    </dataValidation>
  </dataValidations>
  <hyperlinks>
    <hyperlink ref="E4" r:id="rId1" xr:uid="{0AE08AFE-2E07-443E-9A21-3CC465127ED6}"/>
  </hyperlinks>
  <pageMargins left="0.9055118110236221" right="0.9055118110236221" top="0.74803149606299213" bottom="0.74803149606299213" header="0" footer="0"/>
  <pageSetup paperSize="9" scale="84" fitToHeight="0" orientation="portrait" verticalDpi="0" r:id="rId2"/>
  <headerFooter>
    <oddFooter>&amp;P / &amp;N ページ</oddFooter>
  </headerFooter>
  <rowBreaks count="6" manualBreakCount="6">
    <brk id="35" max="15" man="1"/>
    <brk id="74" max="15" man="1"/>
    <brk id="104" max="15" man="1"/>
    <brk id="144" max="15" man="1"/>
    <brk id="179" max="15" man="1"/>
    <brk id="215" max="15" man="1"/>
  </rowBreaks>
  <ignoredErrors>
    <ignoredError sqref="M26" formula="1"/>
  </ignoredErrors>
  <drawing r:id="rId3"/>
  <legacyDrawing r:id="rId4"/>
  <extLst>
    <ext xmlns:x14="http://schemas.microsoft.com/office/spreadsheetml/2009/9/main" uri="{CCE6A557-97BC-4b89-ADB6-D9C93CAAB3DF}">
      <x14:dataValidations xmlns:xm="http://schemas.microsoft.com/office/excel/2006/main" count="15">
        <x14:dataValidation type="list" allowBlank="1" showInputMessage="1" showErrorMessage="1" xr:uid="{5D2A8626-CB1D-45A3-AFEB-57510016156B}">
          <x14:formula1>
            <xm:f>カテゴリー!$B$3:$B$14</xm:f>
          </x14:formula1>
          <xm:sqref>B58:C69</xm:sqref>
        </x14:dataValidation>
        <x14:dataValidation type="list" imeMode="off" allowBlank="1" showInputMessage="1" showErrorMessage="1" xr:uid="{C7C98A3F-A5AE-480F-8B96-03E192C3222D}">
          <x14:formula1>
            <xm:f>カテゴリー!$C$3:$C$6</xm:f>
          </x14:formula1>
          <xm:sqref>D58:E69</xm:sqref>
        </x14:dataValidation>
        <x14:dataValidation type="list" imeMode="off" allowBlank="1" showInputMessage="1" showErrorMessage="1" xr:uid="{98A776B4-A741-413C-95AE-F3B8724FB807}">
          <x14:formula1>
            <xm:f>カテゴリー!$E$3:$E$4</xm:f>
          </x14:formula1>
          <xm:sqref>G58:H69</xm:sqref>
        </x14:dataValidation>
        <x14:dataValidation type="list" imeMode="off" allowBlank="1" showInputMessage="1" showErrorMessage="1" xr:uid="{4B41B84E-B1B4-4EC7-8C7D-2E47B351EF7E}">
          <x14:formula1>
            <xm:f>カテゴリー!$F$3:$F$4</xm:f>
          </x14:formula1>
          <xm:sqref>I58:J69</xm:sqref>
        </x14:dataValidation>
        <x14:dataValidation type="list" allowBlank="1" showInputMessage="1" showErrorMessage="1" xr:uid="{604C2514-7653-4FCC-9A53-EDEAA9BC4439}">
          <x14:formula1>
            <xm:f>カテゴリー!$H$3:$H$12</xm:f>
          </x14:formula1>
          <xm:sqref>N58:P69</xm:sqref>
        </x14:dataValidation>
        <x14:dataValidation type="list" imeMode="off" allowBlank="1" showInputMessage="1" showErrorMessage="1" xr:uid="{7FC285EA-92BC-4D7E-946C-98949B643DC7}">
          <x14:formula1>
            <xm:f>カテゴリー!$G$3:$G$6</xm:f>
          </x14:formula1>
          <xm:sqref>K58:M69</xm:sqref>
        </x14:dataValidation>
        <x14:dataValidation type="list" imeMode="off" allowBlank="1" showInputMessage="1" showErrorMessage="1" xr:uid="{D2EB74AD-7C34-4D27-80CF-4AD468B1CA0C}">
          <x14:formula1>
            <xm:f>カテゴリー!$D$3:$D$8</xm:f>
          </x14:formula1>
          <xm:sqref>F58:F69</xm:sqref>
        </x14:dataValidation>
        <x14:dataValidation type="list" allowBlank="1" showInputMessage="1" showErrorMessage="1" xr:uid="{DF987044-522E-4C82-B439-F09093362F64}">
          <x14:formula1>
            <xm:f>カテゴリー!$B$18:$B$29</xm:f>
          </x14:formula1>
          <xm:sqref>B86:C97</xm:sqref>
        </x14:dataValidation>
        <x14:dataValidation type="list" imeMode="off" allowBlank="1" showInputMessage="1" showErrorMessage="1" xr:uid="{17C380AC-2D72-4A25-B3FA-05F3D8BA3F6B}">
          <x14:formula1>
            <xm:f>カテゴリー!$C$18:$C$21</xm:f>
          </x14:formula1>
          <xm:sqref>D86:E97</xm:sqref>
        </x14:dataValidation>
        <x14:dataValidation type="list" imeMode="off" allowBlank="1" showInputMessage="1" showErrorMessage="1" xr:uid="{9B8F42AD-46B9-4977-9742-6CA9626F93AC}">
          <x14:formula1>
            <xm:f>カテゴリー!$D$18:$D$23</xm:f>
          </x14:formula1>
          <xm:sqref>F86:F97</xm:sqref>
        </x14:dataValidation>
        <x14:dataValidation type="list" allowBlank="1" showInputMessage="1" showErrorMessage="1" xr:uid="{F294C9C0-CFC8-41E3-98EC-48EE443CD6EC}">
          <x14:formula1>
            <xm:f>カテゴリー!$G$18:$G$19</xm:f>
          </x14:formula1>
          <xm:sqref>K86:K97</xm:sqref>
        </x14:dataValidation>
        <x14:dataValidation type="list" imeMode="off" allowBlank="1" showInputMessage="1" showErrorMessage="1" xr:uid="{C1AC42D8-8DD8-4419-ABEE-70B82713B352}">
          <x14:formula1>
            <xm:f>カテゴリー!$F$18:$F$24</xm:f>
          </x14:formula1>
          <xm:sqref>I86:J97</xm:sqref>
        </x14:dataValidation>
        <x14:dataValidation type="list" allowBlank="1" showInputMessage="1" showErrorMessage="1" xr:uid="{E3D4B1CD-8212-4BAF-B32A-0095C4805A89}">
          <x14:formula1>
            <xm:f>カテゴリー!$H$18:$H$34</xm:f>
          </x14:formula1>
          <xm:sqref>L86:N97</xm:sqref>
        </x14:dataValidation>
        <x14:dataValidation type="list" imeMode="off" allowBlank="1" showInputMessage="1" showErrorMessage="1" xr:uid="{3CE0FE6F-A221-4E47-9BE2-9B4A6AFE529A}">
          <x14:formula1>
            <xm:f>カテゴリー!$E$18:$E$19</xm:f>
          </x14:formula1>
          <xm:sqref>G86:H97</xm:sqref>
        </x14:dataValidation>
        <x14:dataValidation type="list" allowBlank="1" showInputMessage="1" showErrorMessage="1" xr:uid="{7435138F-6358-4033-89CE-16C83E5EF256}">
          <x14:formula1>
            <xm:f>カテゴリー!$I$18:$I$28</xm:f>
          </x14:formula1>
          <xm:sqref>O86:P97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8176-080B-4CB8-942D-64F0C29A058E}">
  <sheetPr>
    <tabColor rgb="FF92D050"/>
    <pageSetUpPr fitToPage="1"/>
  </sheetPr>
  <dimension ref="A1:M41"/>
  <sheetViews>
    <sheetView workbookViewId="0">
      <selection sqref="A1:M1"/>
    </sheetView>
  </sheetViews>
  <sheetFormatPr defaultColWidth="8.25" defaultRowHeight="14"/>
  <cols>
    <col min="1" max="1" width="9.75" style="34" customWidth="1"/>
    <col min="2" max="2" width="13.08203125" style="34" customWidth="1"/>
    <col min="3" max="4" width="12.5" style="35" customWidth="1"/>
    <col min="5" max="5" width="10" style="35" customWidth="1"/>
    <col min="6" max="6" width="10" style="36" customWidth="1"/>
    <col min="7" max="7" width="2.83203125" style="34" customWidth="1"/>
    <col min="8" max="8" width="9.75" style="34" customWidth="1"/>
    <col min="9" max="9" width="13.08203125" style="34" customWidth="1"/>
    <col min="10" max="11" width="12.5" style="35" customWidth="1"/>
    <col min="12" max="12" width="10" style="35" customWidth="1"/>
    <col min="13" max="13" width="10" style="36" customWidth="1"/>
    <col min="14" max="16384" width="8.25" style="34"/>
  </cols>
  <sheetData>
    <row r="1" spans="1:13" ht="32.5" customHeight="1" thickBot="1">
      <c r="A1" s="697" t="s">
        <v>109</v>
      </c>
      <c r="B1" s="697"/>
      <c r="C1" s="697"/>
      <c r="D1" s="697"/>
      <c r="E1" s="697"/>
      <c r="F1" s="697"/>
      <c r="G1" s="697"/>
      <c r="H1" s="697"/>
      <c r="I1" s="697"/>
      <c r="J1" s="697"/>
      <c r="K1" s="697"/>
      <c r="L1" s="697"/>
      <c r="M1" s="697"/>
    </row>
    <row r="2" spans="1:13" ht="27.65" customHeight="1" thickBot="1">
      <c r="A2" s="691" t="s">
        <v>91</v>
      </c>
      <c r="B2" s="692"/>
      <c r="C2" s="692"/>
      <c r="D2" s="692"/>
      <c r="E2" s="692"/>
      <c r="F2" s="693"/>
      <c r="G2" s="43"/>
      <c r="H2" s="698" t="s">
        <v>100</v>
      </c>
      <c r="I2" s="699"/>
      <c r="J2" s="699"/>
      <c r="K2" s="699"/>
      <c r="L2" s="699"/>
      <c r="M2" s="700"/>
    </row>
    <row r="3" spans="1:13" ht="35.15" customHeight="1" thickBot="1">
      <c r="A3" s="44" t="s">
        <v>104</v>
      </c>
      <c r="B3" s="45" t="s">
        <v>111</v>
      </c>
      <c r="C3" s="46" t="s">
        <v>87</v>
      </c>
      <c r="D3" s="47" t="s">
        <v>110</v>
      </c>
      <c r="E3" s="46" t="s">
        <v>88</v>
      </c>
      <c r="F3" s="48" t="s">
        <v>89</v>
      </c>
      <c r="G3" s="43"/>
      <c r="H3" s="44" t="s">
        <v>104</v>
      </c>
      <c r="I3" s="45" t="s">
        <v>111</v>
      </c>
      <c r="J3" s="46" t="s">
        <v>87</v>
      </c>
      <c r="K3" s="47" t="s">
        <v>110</v>
      </c>
      <c r="L3" s="46" t="s">
        <v>88</v>
      </c>
      <c r="M3" s="48" t="s">
        <v>89</v>
      </c>
    </row>
    <row r="4" spans="1:13" ht="30" customHeight="1">
      <c r="A4" s="684" t="s">
        <v>106</v>
      </c>
      <c r="B4" s="49" t="s">
        <v>113</v>
      </c>
      <c r="C4" s="50"/>
      <c r="D4" s="50"/>
      <c r="E4" s="51"/>
      <c r="F4" s="60">
        <f>E4</f>
        <v>0</v>
      </c>
      <c r="G4" s="43"/>
      <c r="H4" s="701" t="s">
        <v>106</v>
      </c>
      <c r="I4" s="49" t="s">
        <v>113</v>
      </c>
      <c r="J4" s="52"/>
      <c r="K4" s="52"/>
      <c r="L4" s="53"/>
      <c r="M4" s="61">
        <f>L4</f>
        <v>0</v>
      </c>
    </row>
    <row r="5" spans="1:13" ht="30" customHeight="1">
      <c r="A5" s="685"/>
      <c r="B5" s="687" t="s">
        <v>112</v>
      </c>
      <c r="C5" s="54"/>
      <c r="D5" s="54"/>
      <c r="E5" s="55"/>
      <c r="F5" s="59">
        <f t="shared" ref="F5:F6" si="0">IFERROR(ROUND(C5/D5*E5,1),0)</f>
        <v>0</v>
      </c>
      <c r="G5" s="43"/>
      <c r="H5" s="685"/>
      <c r="I5" s="687" t="s">
        <v>112</v>
      </c>
      <c r="J5" s="54"/>
      <c r="K5" s="54"/>
      <c r="L5" s="55"/>
      <c r="M5" s="59">
        <f t="shared" ref="M5:M6" si="1">IFERROR(ROUND(J5/K5*L5,1),0)</f>
        <v>0</v>
      </c>
    </row>
    <row r="6" spans="1:13" ht="30" customHeight="1">
      <c r="A6" s="685"/>
      <c r="B6" s="688"/>
      <c r="C6" s="54"/>
      <c r="D6" s="54"/>
      <c r="E6" s="55"/>
      <c r="F6" s="59">
        <f t="shared" si="0"/>
        <v>0</v>
      </c>
      <c r="G6" s="43"/>
      <c r="H6" s="685"/>
      <c r="I6" s="688"/>
      <c r="J6" s="54"/>
      <c r="K6" s="54"/>
      <c r="L6" s="55"/>
      <c r="M6" s="59">
        <f t="shared" si="1"/>
        <v>0</v>
      </c>
    </row>
    <row r="7" spans="1:13" ht="30" customHeight="1">
      <c r="A7" s="685"/>
      <c r="B7" s="688"/>
      <c r="C7" s="54"/>
      <c r="D7" s="54"/>
      <c r="E7" s="55"/>
      <c r="F7" s="59">
        <f>IFERROR(ROUND(C7/D7*E7,1),0)</f>
        <v>0</v>
      </c>
      <c r="G7" s="43"/>
      <c r="H7" s="685"/>
      <c r="I7" s="688"/>
      <c r="J7" s="54"/>
      <c r="K7" s="54"/>
      <c r="L7" s="55"/>
      <c r="M7" s="59">
        <f>IFERROR(ROUND(J7/K7*L7,1),0)</f>
        <v>0</v>
      </c>
    </row>
    <row r="8" spans="1:13" ht="30" customHeight="1">
      <c r="A8" s="685"/>
      <c r="B8" s="688"/>
      <c r="C8" s="54"/>
      <c r="D8" s="54"/>
      <c r="E8" s="55"/>
      <c r="F8" s="59">
        <f>IFERROR(ROUND(C8/D8*E8,1),0)</f>
        <v>0</v>
      </c>
      <c r="G8" s="43"/>
      <c r="H8" s="685"/>
      <c r="I8" s="688"/>
      <c r="J8" s="54"/>
      <c r="K8" s="54"/>
      <c r="L8" s="55"/>
      <c r="M8" s="59">
        <f>IFERROR(ROUND(J8/K8*L8,1),0)</f>
        <v>0</v>
      </c>
    </row>
    <row r="9" spans="1:13" ht="30" customHeight="1">
      <c r="A9" s="685"/>
      <c r="B9" s="688"/>
      <c r="C9" s="54"/>
      <c r="D9" s="54"/>
      <c r="E9" s="55"/>
      <c r="F9" s="59">
        <f t="shared" ref="F9:F11" si="2">IFERROR(ROUND(C9/D9*E9,1),0)</f>
        <v>0</v>
      </c>
      <c r="G9" s="43"/>
      <c r="H9" s="685"/>
      <c r="I9" s="688"/>
      <c r="J9" s="54"/>
      <c r="K9" s="54"/>
      <c r="L9" s="55"/>
      <c r="M9" s="59">
        <f t="shared" ref="M9:M11" si="3">IFERROR(ROUND(J9/K9*L9,1),0)</f>
        <v>0</v>
      </c>
    </row>
    <row r="10" spans="1:13" ht="30" customHeight="1">
      <c r="A10" s="685"/>
      <c r="B10" s="688"/>
      <c r="C10" s="54"/>
      <c r="D10" s="54"/>
      <c r="E10" s="55"/>
      <c r="F10" s="59">
        <f t="shared" si="2"/>
        <v>0</v>
      </c>
      <c r="G10" s="43"/>
      <c r="H10" s="685"/>
      <c r="I10" s="688"/>
      <c r="J10" s="54"/>
      <c r="K10" s="54"/>
      <c r="L10" s="55"/>
      <c r="M10" s="59">
        <f t="shared" si="3"/>
        <v>0</v>
      </c>
    </row>
    <row r="11" spans="1:13" ht="30" customHeight="1">
      <c r="A11" s="685"/>
      <c r="B11" s="688"/>
      <c r="C11" s="54"/>
      <c r="D11" s="54"/>
      <c r="E11" s="55"/>
      <c r="F11" s="59">
        <f t="shared" si="2"/>
        <v>0</v>
      </c>
      <c r="G11" s="43"/>
      <c r="H11" s="685"/>
      <c r="I11" s="688"/>
      <c r="J11" s="54"/>
      <c r="K11" s="54"/>
      <c r="L11" s="55"/>
      <c r="M11" s="59">
        <f t="shared" si="3"/>
        <v>0</v>
      </c>
    </row>
    <row r="12" spans="1:13" ht="30" customHeight="1" thickBot="1">
      <c r="A12" s="686"/>
      <c r="B12" s="689" t="s">
        <v>90</v>
      </c>
      <c r="C12" s="690"/>
      <c r="D12" s="690"/>
      <c r="E12" s="690"/>
      <c r="F12" s="58">
        <f>SUM(F4:F11)</f>
        <v>0</v>
      </c>
      <c r="G12" s="43"/>
      <c r="H12" s="686"/>
      <c r="I12" s="689" t="s">
        <v>90</v>
      </c>
      <c r="J12" s="690"/>
      <c r="K12" s="690"/>
      <c r="L12" s="690"/>
      <c r="M12" s="58">
        <f>SUM(M4:M11)</f>
        <v>0</v>
      </c>
    </row>
    <row r="13" spans="1:13" ht="30" customHeight="1">
      <c r="A13" s="684" t="s">
        <v>107</v>
      </c>
      <c r="B13" s="49" t="s">
        <v>113</v>
      </c>
      <c r="C13" s="50"/>
      <c r="D13" s="50"/>
      <c r="E13" s="51"/>
      <c r="F13" s="60">
        <f>E13</f>
        <v>0</v>
      </c>
      <c r="G13" s="43"/>
      <c r="H13" s="684" t="s">
        <v>107</v>
      </c>
      <c r="I13" s="49" t="s">
        <v>113</v>
      </c>
      <c r="J13" s="50"/>
      <c r="K13" s="50"/>
      <c r="L13" s="51"/>
      <c r="M13" s="60">
        <f>L13</f>
        <v>0</v>
      </c>
    </row>
    <row r="14" spans="1:13" ht="30" customHeight="1">
      <c r="A14" s="685"/>
      <c r="B14" s="687" t="s">
        <v>112</v>
      </c>
      <c r="C14" s="54"/>
      <c r="D14" s="54"/>
      <c r="E14" s="55"/>
      <c r="F14" s="59">
        <f t="shared" ref="F14:F15" si="4">IFERROR(ROUND(C14/D14*E14,1),0)</f>
        <v>0</v>
      </c>
      <c r="G14" s="43"/>
      <c r="H14" s="685"/>
      <c r="I14" s="687" t="s">
        <v>112</v>
      </c>
      <c r="J14" s="54"/>
      <c r="K14" s="54"/>
      <c r="L14" s="55"/>
      <c r="M14" s="59">
        <f t="shared" ref="M14:M15" si="5">IFERROR(ROUND(J14/K14*L14,1),0)</f>
        <v>0</v>
      </c>
    </row>
    <row r="15" spans="1:13" ht="30" customHeight="1">
      <c r="A15" s="685"/>
      <c r="B15" s="688"/>
      <c r="C15" s="54"/>
      <c r="D15" s="54"/>
      <c r="E15" s="55"/>
      <c r="F15" s="59">
        <f t="shared" si="4"/>
        <v>0</v>
      </c>
      <c r="G15" s="43"/>
      <c r="H15" s="685"/>
      <c r="I15" s="688"/>
      <c r="J15" s="54"/>
      <c r="K15" s="54"/>
      <c r="L15" s="55"/>
      <c r="M15" s="59">
        <f t="shared" si="5"/>
        <v>0</v>
      </c>
    </row>
    <row r="16" spans="1:13" ht="30" customHeight="1">
      <c r="A16" s="685"/>
      <c r="B16" s="688"/>
      <c r="C16" s="54"/>
      <c r="D16" s="54"/>
      <c r="E16" s="55"/>
      <c r="F16" s="59">
        <f>IFERROR(ROUND(C16/D16*E16,1),0)</f>
        <v>0</v>
      </c>
      <c r="G16" s="43"/>
      <c r="H16" s="685"/>
      <c r="I16" s="688"/>
      <c r="J16" s="54"/>
      <c r="K16" s="54"/>
      <c r="L16" s="55"/>
      <c r="M16" s="59">
        <f>IFERROR(ROUND(J16/K16*L16,1),0)</f>
        <v>0</v>
      </c>
    </row>
    <row r="17" spans="1:13" ht="30" customHeight="1">
      <c r="A17" s="685"/>
      <c r="B17" s="688"/>
      <c r="C17" s="54"/>
      <c r="D17" s="54"/>
      <c r="E17" s="55"/>
      <c r="F17" s="59">
        <f>IFERROR(ROUND(C17/D17*E17,1),0)</f>
        <v>0</v>
      </c>
      <c r="G17" s="43"/>
      <c r="H17" s="685"/>
      <c r="I17" s="688"/>
      <c r="J17" s="54"/>
      <c r="K17" s="54"/>
      <c r="L17" s="55"/>
      <c r="M17" s="59">
        <f>IFERROR(ROUND(J17/K17*L17,1),0)</f>
        <v>0</v>
      </c>
    </row>
    <row r="18" spans="1:13" ht="30" customHeight="1">
      <c r="A18" s="685"/>
      <c r="B18" s="688"/>
      <c r="C18" s="54"/>
      <c r="D18" s="54"/>
      <c r="E18" s="55"/>
      <c r="F18" s="59">
        <f t="shared" ref="F18:F20" si="6">IFERROR(ROUND(C18/D18*E18,1),0)</f>
        <v>0</v>
      </c>
      <c r="G18" s="43"/>
      <c r="H18" s="685"/>
      <c r="I18" s="688"/>
      <c r="J18" s="54"/>
      <c r="K18" s="54"/>
      <c r="L18" s="55"/>
      <c r="M18" s="59">
        <f t="shared" ref="M18:M20" si="7">IFERROR(ROUND(J18/K18*L18,1),0)</f>
        <v>0</v>
      </c>
    </row>
    <row r="19" spans="1:13" ht="30" customHeight="1">
      <c r="A19" s="685"/>
      <c r="B19" s="688"/>
      <c r="C19" s="54"/>
      <c r="D19" s="54"/>
      <c r="E19" s="55"/>
      <c r="F19" s="59">
        <f t="shared" si="6"/>
        <v>0</v>
      </c>
      <c r="G19" s="43"/>
      <c r="H19" s="685"/>
      <c r="I19" s="688"/>
      <c r="J19" s="54"/>
      <c r="K19" s="54"/>
      <c r="L19" s="55"/>
      <c r="M19" s="59">
        <f t="shared" si="7"/>
        <v>0</v>
      </c>
    </row>
    <row r="20" spans="1:13" ht="30" customHeight="1">
      <c r="A20" s="685"/>
      <c r="B20" s="688"/>
      <c r="C20" s="54"/>
      <c r="D20" s="54"/>
      <c r="E20" s="55"/>
      <c r="F20" s="59">
        <f t="shared" si="6"/>
        <v>0</v>
      </c>
      <c r="G20" s="43"/>
      <c r="H20" s="685"/>
      <c r="I20" s="688"/>
      <c r="J20" s="54"/>
      <c r="K20" s="54"/>
      <c r="L20" s="55"/>
      <c r="M20" s="59">
        <f t="shared" si="7"/>
        <v>0</v>
      </c>
    </row>
    <row r="21" spans="1:13" ht="30" customHeight="1" thickBot="1">
      <c r="A21" s="686"/>
      <c r="B21" s="689" t="s">
        <v>90</v>
      </c>
      <c r="C21" s="690"/>
      <c r="D21" s="690"/>
      <c r="E21" s="690"/>
      <c r="F21" s="58">
        <f>SUM(F13:F20)</f>
        <v>0</v>
      </c>
      <c r="G21" s="43"/>
      <c r="H21" s="686"/>
      <c r="I21" s="689" t="s">
        <v>90</v>
      </c>
      <c r="J21" s="690"/>
      <c r="K21" s="690"/>
      <c r="L21" s="690"/>
      <c r="M21" s="58">
        <f>SUM(M13:M20)</f>
        <v>0</v>
      </c>
    </row>
    <row r="22" spans="1:13" ht="30" customHeight="1">
      <c r="A22" s="694" t="s">
        <v>105</v>
      </c>
      <c r="B22" s="49" t="s">
        <v>113</v>
      </c>
      <c r="C22" s="50"/>
      <c r="D22" s="50"/>
      <c r="E22" s="51"/>
      <c r="F22" s="60">
        <f>E22</f>
        <v>0</v>
      </c>
      <c r="G22" s="43"/>
      <c r="H22" s="694" t="s">
        <v>105</v>
      </c>
      <c r="I22" s="49" t="s">
        <v>113</v>
      </c>
      <c r="J22" s="50"/>
      <c r="K22" s="50"/>
      <c r="L22" s="51"/>
      <c r="M22" s="60">
        <f>L22</f>
        <v>0</v>
      </c>
    </row>
    <row r="23" spans="1:13" ht="30" customHeight="1">
      <c r="A23" s="695"/>
      <c r="B23" s="687" t="s">
        <v>112</v>
      </c>
      <c r="C23" s="54"/>
      <c r="D23" s="54"/>
      <c r="E23" s="55"/>
      <c r="F23" s="59">
        <f t="shared" ref="F23:F24" si="8">IFERROR(ROUND(C23/D23*E23,1),0)</f>
        <v>0</v>
      </c>
      <c r="G23" s="43"/>
      <c r="H23" s="695"/>
      <c r="I23" s="687" t="s">
        <v>112</v>
      </c>
      <c r="J23" s="54"/>
      <c r="K23" s="54"/>
      <c r="L23" s="55"/>
      <c r="M23" s="59">
        <f t="shared" ref="M23:M24" si="9">IFERROR(ROUND(J23/K23*L23,1),0)</f>
        <v>0</v>
      </c>
    </row>
    <row r="24" spans="1:13" ht="30" customHeight="1">
      <c r="A24" s="695"/>
      <c r="B24" s="688"/>
      <c r="C24" s="54"/>
      <c r="D24" s="54"/>
      <c r="E24" s="55"/>
      <c r="F24" s="59">
        <f t="shared" si="8"/>
        <v>0</v>
      </c>
      <c r="G24" s="43"/>
      <c r="H24" s="695"/>
      <c r="I24" s="688"/>
      <c r="J24" s="54"/>
      <c r="K24" s="54"/>
      <c r="L24" s="55"/>
      <c r="M24" s="59">
        <f t="shared" si="9"/>
        <v>0</v>
      </c>
    </row>
    <row r="25" spans="1:13" ht="30" customHeight="1">
      <c r="A25" s="695"/>
      <c r="B25" s="688"/>
      <c r="C25" s="54"/>
      <c r="D25" s="54"/>
      <c r="E25" s="55"/>
      <c r="F25" s="59">
        <f>IFERROR(ROUND(C25/D25*E25,1),0)</f>
        <v>0</v>
      </c>
      <c r="G25" s="43"/>
      <c r="H25" s="695"/>
      <c r="I25" s="688"/>
      <c r="J25" s="54"/>
      <c r="K25" s="54"/>
      <c r="L25" s="55"/>
      <c r="M25" s="59">
        <f>IFERROR(ROUND(J25/K25*L25,1),0)</f>
        <v>0</v>
      </c>
    </row>
    <row r="26" spans="1:13" ht="30" customHeight="1">
      <c r="A26" s="695"/>
      <c r="B26" s="688"/>
      <c r="C26" s="54"/>
      <c r="D26" s="54"/>
      <c r="E26" s="55"/>
      <c r="F26" s="59">
        <f>IFERROR(ROUND(C26/D26*E26,1),0)</f>
        <v>0</v>
      </c>
      <c r="G26" s="43"/>
      <c r="H26" s="695"/>
      <c r="I26" s="688"/>
      <c r="J26" s="54"/>
      <c r="K26" s="54"/>
      <c r="L26" s="55"/>
      <c r="M26" s="59">
        <f>IFERROR(ROUND(J26/K26*L26,1),0)</f>
        <v>0</v>
      </c>
    </row>
    <row r="27" spans="1:13" ht="30" customHeight="1">
      <c r="A27" s="695"/>
      <c r="B27" s="688"/>
      <c r="C27" s="54"/>
      <c r="D27" s="54"/>
      <c r="E27" s="55"/>
      <c r="F27" s="59">
        <f t="shared" ref="F27:F29" si="10">IFERROR(ROUND(C27/D27*E27,1),0)</f>
        <v>0</v>
      </c>
      <c r="G27" s="43"/>
      <c r="H27" s="695"/>
      <c r="I27" s="688"/>
      <c r="J27" s="54"/>
      <c r="K27" s="54"/>
      <c r="L27" s="55"/>
      <c r="M27" s="59">
        <f t="shared" ref="M27:M29" si="11">IFERROR(ROUND(J27/K27*L27,1),0)</f>
        <v>0</v>
      </c>
    </row>
    <row r="28" spans="1:13" ht="30" customHeight="1">
      <c r="A28" s="695"/>
      <c r="B28" s="688"/>
      <c r="C28" s="54"/>
      <c r="D28" s="54"/>
      <c r="E28" s="55"/>
      <c r="F28" s="59">
        <f t="shared" si="10"/>
        <v>0</v>
      </c>
      <c r="G28" s="43"/>
      <c r="H28" s="695"/>
      <c r="I28" s="688"/>
      <c r="J28" s="54"/>
      <c r="K28" s="54"/>
      <c r="L28" s="55"/>
      <c r="M28" s="59">
        <f t="shared" si="11"/>
        <v>0</v>
      </c>
    </row>
    <row r="29" spans="1:13" ht="30" customHeight="1">
      <c r="A29" s="695"/>
      <c r="B29" s="688"/>
      <c r="C29" s="54"/>
      <c r="D29" s="54"/>
      <c r="E29" s="55"/>
      <c r="F29" s="59">
        <f t="shared" si="10"/>
        <v>0</v>
      </c>
      <c r="G29" s="43"/>
      <c r="H29" s="695"/>
      <c r="I29" s="688"/>
      <c r="J29" s="54"/>
      <c r="K29" s="54"/>
      <c r="L29" s="55"/>
      <c r="M29" s="59">
        <f t="shared" si="11"/>
        <v>0</v>
      </c>
    </row>
    <row r="30" spans="1:13" ht="30" customHeight="1" thickBot="1">
      <c r="A30" s="696"/>
      <c r="B30" s="689" t="s">
        <v>90</v>
      </c>
      <c r="C30" s="690"/>
      <c r="D30" s="690"/>
      <c r="E30" s="690"/>
      <c r="F30" s="58">
        <f>SUM(F22:F29)</f>
        <v>0</v>
      </c>
      <c r="G30" s="43"/>
      <c r="H30" s="696"/>
      <c r="I30" s="689" t="s">
        <v>90</v>
      </c>
      <c r="J30" s="690"/>
      <c r="K30" s="690"/>
      <c r="L30" s="690"/>
      <c r="M30" s="58">
        <f>SUM(M22:M29)</f>
        <v>0</v>
      </c>
    </row>
    <row r="31" spans="1:13" ht="30" customHeight="1">
      <c r="A31" s="684" t="s">
        <v>108</v>
      </c>
      <c r="B31" s="49" t="s">
        <v>113</v>
      </c>
      <c r="C31" s="50"/>
      <c r="D31" s="50"/>
      <c r="E31" s="51"/>
      <c r="F31" s="60">
        <f>E31</f>
        <v>0</v>
      </c>
      <c r="G31" s="43"/>
      <c r="H31" s="684" t="s">
        <v>108</v>
      </c>
      <c r="I31" s="49" t="s">
        <v>113</v>
      </c>
      <c r="J31" s="50"/>
      <c r="K31" s="50"/>
      <c r="L31" s="51"/>
      <c r="M31" s="60">
        <f>L31</f>
        <v>0</v>
      </c>
    </row>
    <row r="32" spans="1:13" ht="30" customHeight="1">
      <c r="A32" s="685"/>
      <c r="B32" s="687" t="s">
        <v>112</v>
      </c>
      <c r="C32" s="54"/>
      <c r="D32" s="54"/>
      <c r="E32" s="55"/>
      <c r="F32" s="59">
        <f t="shared" ref="F32:F33" si="12">IFERROR(ROUND(C32/D32*E32,1),0)</f>
        <v>0</v>
      </c>
      <c r="G32" s="43"/>
      <c r="H32" s="685"/>
      <c r="I32" s="687" t="s">
        <v>112</v>
      </c>
      <c r="J32" s="54"/>
      <c r="K32" s="54"/>
      <c r="L32" s="55"/>
      <c r="M32" s="59">
        <f t="shared" ref="M32:M33" si="13">IFERROR(ROUND(J32/K32*L32,1),0)</f>
        <v>0</v>
      </c>
    </row>
    <row r="33" spans="1:13" ht="30" customHeight="1">
      <c r="A33" s="685"/>
      <c r="B33" s="688"/>
      <c r="C33" s="54"/>
      <c r="D33" s="54"/>
      <c r="E33" s="55"/>
      <c r="F33" s="59">
        <f t="shared" si="12"/>
        <v>0</v>
      </c>
      <c r="G33" s="43"/>
      <c r="H33" s="685"/>
      <c r="I33" s="688"/>
      <c r="J33" s="54"/>
      <c r="K33" s="54"/>
      <c r="L33" s="55"/>
      <c r="M33" s="59">
        <f t="shared" si="13"/>
        <v>0</v>
      </c>
    </row>
    <row r="34" spans="1:13" ht="30" customHeight="1">
      <c r="A34" s="685"/>
      <c r="B34" s="688"/>
      <c r="C34" s="54"/>
      <c r="D34" s="54"/>
      <c r="E34" s="55"/>
      <c r="F34" s="59">
        <f>IFERROR(ROUND(C34/D34*E34,1),0)</f>
        <v>0</v>
      </c>
      <c r="G34" s="43"/>
      <c r="H34" s="685"/>
      <c r="I34" s="688"/>
      <c r="J34" s="54"/>
      <c r="K34" s="54"/>
      <c r="L34" s="55"/>
      <c r="M34" s="59">
        <f>IFERROR(ROUND(J34/K34*L34,1),0)</f>
        <v>0</v>
      </c>
    </row>
    <row r="35" spans="1:13" ht="30" customHeight="1">
      <c r="A35" s="685"/>
      <c r="B35" s="688"/>
      <c r="C35" s="54"/>
      <c r="D35" s="54"/>
      <c r="E35" s="55"/>
      <c r="F35" s="59">
        <f>IFERROR(ROUND(C35/D35*E35,1),0)</f>
        <v>0</v>
      </c>
      <c r="G35" s="43"/>
      <c r="H35" s="685"/>
      <c r="I35" s="688"/>
      <c r="J35" s="54"/>
      <c r="K35" s="54"/>
      <c r="L35" s="55"/>
      <c r="M35" s="59">
        <f>IFERROR(ROUND(J35/K35*L35,1),0)</f>
        <v>0</v>
      </c>
    </row>
    <row r="36" spans="1:13" ht="30" customHeight="1">
      <c r="A36" s="685"/>
      <c r="B36" s="688"/>
      <c r="C36" s="54"/>
      <c r="D36" s="54"/>
      <c r="E36" s="55"/>
      <c r="F36" s="59">
        <f t="shared" ref="F36:F38" si="14">IFERROR(ROUND(C36/D36*E36,1),0)</f>
        <v>0</v>
      </c>
      <c r="G36" s="43"/>
      <c r="H36" s="685"/>
      <c r="I36" s="688"/>
      <c r="J36" s="54"/>
      <c r="K36" s="54"/>
      <c r="L36" s="55"/>
      <c r="M36" s="59">
        <f t="shared" ref="M36:M38" si="15">IFERROR(ROUND(J36/K36*L36,1),0)</f>
        <v>0</v>
      </c>
    </row>
    <row r="37" spans="1:13" ht="30" customHeight="1">
      <c r="A37" s="685"/>
      <c r="B37" s="688"/>
      <c r="C37" s="54"/>
      <c r="D37" s="54"/>
      <c r="E37" s="55"/>
      <c r="F37" s="59">
        <f t="shared" si="14"/>
        <v>0</v>
      </c>
      <c r="G37" s="43"/>
      <c r="H37" s="685"/>
      <c r="I37" s="688"/>
      <c r="J37" s="54"/>
      <c r="K37" s="54"/>
      <c r="L37" s="55"/>
      <c r="M37" s="59">
        <f t="shared" si="15"/>
        <v>0</v>
      </c>
    </row>
    <row r="38" spans="1:13" ht="30" customHeight="1">
      <c r="A38" s="685"/>
      <c r="B38" s="688"/>
      <c r="C38" s="54"/>
      <c r="D38" s="54"/>
      <c r="E38" s="55"/>
      <c r="F38" s="59">
        <f t="shared" si="14"/>
        <v>0</v>
      </c>
      <c r="G38" s="43"/>
      <c r="H38" s="685"/>
      <c r="I38" s="688"/>
      <c r="J38" s="54"/>
      <c r="K38" s="54"/>
      <c r="L38" s="55"/>
      <c r="M38" s="59">
        <f t="shared" si="15"/>
        <v>0</v>
      </c>
    </row>
    <row r="39" spans="1:13" ht="30" customHeight="1" thickBot="1">
      <c r="A39" s="686"/>
      <c r="B39" s="689" t="s">
        <v>90</v>
      </c>
      <c r="C39" s="690"/>
      <c r="D39" s="690"/>
      <c r="E39" s="690"/>
      <c r="F39" s="58">
        <f>SUM(F31:F38)</f>
        <v>0</v>
      </c>
      <c r="G39" s="43"/>
      <c r="H39" s="686"/>
      <c r="I39" s="689" t="s">
        <v>90</v>
      </c>
      <c r="J39" s="690"/>
      <c r="K39" s="690"/>
      <c r="L39" s="690"/>
      <c r="M39" s="58">
        <f>SUM(M31:M38)</f>
        <v>0</v>
      </c>
    </row>
    <row r="40" spans="1:13">
      <c r="A40" s="43"/>
      <c r="B40" s="43"/>
      <c r="C40" s="56"/>
      <c r="D40" s="56"/>
      <c r="E40" s="56"/>
      <c r="F40" s="57"/>
      <c r="G40" s="43"/>
      <c r="H40" s="43"/>
      <c r="I40" s="43"/>
      <c r="J40" s="56"/>
      <c r="K40" s="56"/>
      <c r="L40" s="56"/>
      <c r="M40" s="57"/>
    </row>
    <row r="41" spans="1:13">
      <c r="A41" s="43"/>
      <c r="B41" s="43"/>
      <c r="C41" s="56"/>
      <c r="D41" s="56"/>
      <c r="E41" s="56"/>
      <c r="F41" s="57"/>
      <c r="G41" s="43"/>
      <c r="H41" s="43"/>
      <c r="I41" s="43"/>
      <c r="J41" s="56"/>
      <c r="K41" s="56"/>
      <c r="L41" s="56"/>
      <c r="M41" s="57"/>
    </row>
  </sheetData>
  <mergeCells count="27">
    <mergeCell ref="A1:M1"/>
    <mergeCell ref="H22:H30"/>
    <mergeCell ref="I23:I29"/>
    <mergeCell ref="I30:L30"/>
    <mergeCell ref="H31:H39"/>
    <mergeCell ref="I32:I38"/>
    <mergeCell ref="I39:L39"/>
    <mergeCell ref="H2:M2"/>
    <mergeCell ref="H4:H12"/>
    <mergeCell ref="I5:I11"/>
    <mergeCell ref="I12:L12"/>
    <mergeCell ref="H13:H21"/>
    <mergeCell ref="I14:I20"/>
    <mergeCell ref="I21:L21"/>
    <mergeCell ref="B23:B29"/>
    <mergeCell ref="B30:E30"/>
    <mergeCell ref="A31:A39"/>
    <mergeCell ref="B32:B38"/>
    <mergeCell ref="B39:E39"/>
    <mergeCell ref="A2:F2"/>
    <mergeCell ref="A4:A12"/>
    <mergeCell ref="B5:B11"/>
    <mergeCell ref="B12:E12"/>
    <mergeCell ref="A13:A21"/>
    <mergeCell ref="B14:B20"/>
    <mergeCell ref="B21:E21"/>
    <mergeCell ref="A22:A30"/>
  </mergeCells>
  <phoneticPr fontId="1"/>
  <conditionalFormatting sqref="E4:E11 C5:C11">
    <cfRule type="containsBlanks" dxfId="19" priority="18" stopIfTrue="1">
      <formula>LEN(TRIM(C4))=0</formula>
    </cfRule>
  </conditionalFormatting>
  <conditionalFormatting sqref="D5:D11">
    <cfRule type="containsBlanks" dxfId="18" priority="17" stopIfTrue="1">
      <formula>LEN(TRIM(D5))=0</formula>
    </cfRule>
  </conditionalFormatting>
  <conditionalFormatting sqref="E13:E20 C14:C20">
    <cfRule type="containsBlanks" dxfId="17" priority="16" stopIfTrue="1">
      <formula>LEN(TRIM(C13))=0</formula>
    </cfRule>
  </conditionalFormatting>
  <conditionalFormatting sqref="D14:D20">
    <cfRule type="containsBlanks" dxfId="16" priority="15" stopIfTrue="1">
      <formula>LEN(TRIM(D14))=0</formula>
    </cfRule>
  </conditionalFormatting>
  <conditionalFormatting sqref="E22:E29 C23:C29">
    <cfRule type="containsBlanks" dxfId="15" priority="14" stopIfTrue="1">
      <formula>LEN(TRIM(C22))=0</formula>
    </cfRule>
  </conditionalFormatting>
  <conditionalFormatting sqref="D23:D29">
    <cfRule type="containsBlanks" dxfId="14" priority="13" stopIfTrue="1">
      <formula>LEN(TRIM(D23))=0</formula>
    </cfRule>
  </conditionalFormatting>
  <conditionalFormatting sqref="E31:E38 C32:C38">
    <cfRule type="containsBlanks" dxfId="13" priority="12" stopIfTrue="1">
      <formula>LEN(TRIM(C31))=0</formula>
    </cfRule>
  </conditionalFormatting>
  <conditionalFormatting sqref="D32:D38">
    <cfRule type="containsBlanks" dxfId="12" priority="11" stopIfTrue="1">
      <formula>LEN(TRIM(D32))=0</formula>
    </cfRule>
  </conditionalFormatting>
  <conditionalFormatting sqref="L4:L11 J5:J11">
    <cfRule type="containsBlanks" dxfId="11" priority="8" stopIfTrue="1">
      <formula>LEN(TRIM(J4))=0</formula>
    </cfRule>
  </conditionalFormatting>
  <conditionalFormatting sqref="K5:K11">
    <cfRule type="containsBlanks" dxfId="10" priority="7" stopIfTrue="1">
      <formula>LEN(TRIM(K5))=0</formula>
    </cfRule>
  </conditionalFormatting>
  <conditionalFormatting sqref="L13:L20 J14:J20">
    <cfRule type="containsBlanks" dxfId="9" priority="6" stopIfTrue="1">
      <formula>LEN(TRIM(J13))=0</formula>
    </cfRule>
  </conditionalFormatting>
  <conditionalFormatting sqref="K14:K20">
    <cfRule type="containsBlanks" dxfId="8" priority="5" stopIfTrue="1">
      <formula>LEN(TRIM(K14))=0</formula>
    </cfRule>
  </conditionalFormatting>
  <conditionalFormatting sqref="L22:L29 J23:J29">
    <cfRule type="containsBlanks" dxfId="7" priority="4" stopIfTrue="1">
      <formula>LEN(TRIM(J22))=0</formula>
    </cfRule>
  </conditionalFormatting>
  <conditionalFormatting sqref="K23:K29">
    <cfRule type="containsBlanks" dxfId="6" priority="3" stopIfTrue="1">
      <formula>LEN(TRIM(K23))=0</formula>
    </cfRule>
  </conditionalFormatting>
  <conditionalFormatting sqref="L31:L38 J32:J38">
    <cfRule type="containsBlanks" dxfId="5" priority="2" stopIfTrue="1">
      <formula>LEN(TRIM(J31))=0</formula>
    </cfRule>
  </conditionalFormatting>
  <conditionalFormatting sqref="K32:K38">
    <cfRule type="containsBlanks" dxfId="4" priority="1" stopIfTrue="1">
      <formula>LEN(TRIM(K32))=0</formula>
    </cfRule>
  </conditionalFormatting>
  <dataValidations count="2">
    <dataValidation allowBlank="1" showInputMessage="1" showErrorMessage="1" promptTitle="計算式入力済" prompt="計算式が入力されていますので、記入しないでください" sqref="F4:F39 M4:M39" xr:uid="{E1469F07-74E4-4077-9917-A04EF437F45D}"/>
    <dataValidation imeMode="off" allowBlank="1" showInputMessage="1" showErrorMessage="1" sqref="C4:E11 C13:E20 C22:E29 C31:E38 J4:L11 J13:L20 J22:L29 J31:L38" xr:uid="{839A6A1B-EED5-47F9-91AF-54FB412398E3}"/>
  </dataValidations>
  <pageMargins left="0.78740157480314965" right="0.39370078740157483" top="0.19685039370078741" bottom="0.19685039370078741" header="0.31496062992125984" footer="0.31496062992125984"/>
  <pageSetup paperSize="9" scale="60" fitToHeight="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C1ADD-9CA7-4F3E-BD57-03007428D995}">
  <dimension ref="B1:O49"/>
  <sheetViews>
    <sheetView topLeftCell="A7" workbookViewId="0">
      <selection activeCell="I27" sqref="I27"/>
    </sheetView>
  </sheetViews>
  <sheetFormatPr defaultRowHeight="18"/>
  <cols>
    <col min="4" max="4" width="9" style="172"/>
    <col min="5" max="5" width="12.83203125" customWidth="1"/>
    <col min="6" max="6" width="10.5" customWidth="1"/>
    <col min="7" max="7" width="19.58203125" customWidth="1"/>
    <col min="8" max="8" width="22.08203125" customWidth="1"/>
    <col min="9" max="9" width="17" customWidth="1"/>
  </cols>
  <sheetData>
    <row r="1" spans="2:8">
      <c r="B1" s="172" t="s">
        <v>407</v>
      </c>
    </row>
    <row r="2" spans="2:8">
      <c r="B2" s="210" t="s">
        <v>405</v>
      </c>
      <c r="C2" s="210" t="s">
        <v>403</v>
      </c>
      <c r="D2" s="221" t="s">
        <v>445</v>
      </c>
      <c r="E2" s="210" t="s">
        <v>404</v>
      </c>
      <c r="F2" s="210" t="s">
        <v>406</v>
      </c>
      <c r="G2" s="210" t="s">
        <v>428</v>
      </c>
      <c r="H2" s="210" t="s">
        <v>430</v>
      </c>
    </row>
    <row r="3" spans="2:8">
      <c r="B3" s="207" t="s">
        <v>408</v>
      </c>
      <c r="C3" s="207" t="s">
        <v>420</v>
      </c>
      <c r="D3" s="207" t="s">
        <v>440</v>
      </c>
      <c r="E3" s="207" t="s">
        <v>424</v>
      </c>
      <c r="F3" s="207" t="s">
        <v>425</v>
      </c>
      <c r="G3" s="207" t="s">
        <v>433</v>
      </c>
      <c r="H3" s="208" t="s">
        <v>283</v>
      </c>
    </row>
    <row r="4" spans="2:8">
      <c r="B4" s="207" t="s">
        <v>409</v>
      </c>
      <c r="C4" s="207" t="s">
        <v>421</v>
      </c>
      <c r="D4" s="207" t="s">
        <v>14</v>
      </c>
      <c r="E4" s="207" t="s">
        <v>399</v>
      </c>
      <c r="F4" s="207" t="s">
        <v>426</v>
      </c>
      <c r="G4" s="207" t="s">
        <v>429</v>
      </c>
      <c r="H4" s="208" t="s">
        <v>253</v>
      </c>
    </row>
    <row r="5" spans="2:8">
      <c r="B5" s="207" t="s">
        <v>410</v>
      </c>
      <c r="C5" s="207" t="s">
        <v>422</v>
      </c>
      <c r="D5" s="207" t="s">
        <v>15</v>
      </c>
      <c r="E5" s="212"/>
      <c r="F5" s="212"/>
      <c r="G5" s="207" t="s">
        <v>438</v>
      </c>
      <c r="H5" s="209" t="s">
        <v>284</v>
      </c>
    </row>
    <row r="6" spans="2:8">
      <c r="B6" s="207" t="s">
        <v>411</v>
      </c>
      <c r="C6" s="207" t="s">
        <v>423</v>
      </c>
      <c r="D6" s="207" t="s">
        <v>16</v>
      </c>
      <c r="E6" s="1"/>
      <c r="F6" s="1"/>
      <c r="G6" s="207" t="s">
        <v>439</v>
      </c>
      <c r="H6" s="208" t="s">
        <v>285</v>
      </c>
    </row>
    <row r="7" spans="2:8">
      <c r="B7" s="207" t="s">
        <v>412</v>
      </c>
      <c r="C7" s="211"/>
      <c r="D7" s="222" t="s">
        <v>17</v>
      </c>
      <c r="E7" s="1"/>
      <c r="F7" s="1"/>
      <c r="G7" s="214"/>
      <c r="H7" s="208" t="s">
        <v>254</v>
      </c>
    </row>
    <row r="8" spans="2:8">
      <c r="B8" s="207" t="s">
        <v>413</v>
      </c>
      <c r="C8" s="213"/>
      <c r="D8" s="222" t="s">
        <v>18</v>
      </c>
      <c r="E8" s="1"/>
      <c r="F8" s="1"/>
      <c r="G8" s="214"/>
      <c r="H8" s="208" t="s">
        <v>286</v>
      </c>
    </row>
    <row r="9" spans="2:8">
      <c r="B9" s="207" t="s">
        <v>414</v>
      </c>
      <c r="C9" s="213"/>
      <c r="D9" s="1"/>
      <c r="E9" s="1"/>
      <c r="F9" s="1"/>
      <c r="G9" s="214"/>
      <c r="H9" s="208" t="s">
        <v>441</v>
      </c>
    </row>
    <row r="10" spans="2:8">
      <c r="B10" s="207" t="s">
        <v>415</v>
      </c>
      <c r="C10" s="213"/>
      <c r="D10" s="1"/>
      <c r="E10" s="1"/>
      <c r="F10" s="1"/>
      <c r="G10" s="214"/>
      <c r="H10" s="208" t="s">
        <v>255</v>
      </c>
    </row>
    <row r="11" spans="2:8">
      <c r="B11" s="207" t="s">
        <v>416</v>
      </c>
      <c r="C11" s="213"/>
      <c r="D11" s="1"/>
      <c r="E11" s="1"/>
      <c r="F11" s="1"/>
      <c r="G11" s="214"/>
      <c r="H11" s="208" t="s">
        <v>427</v>
      </c>
    </row>
    <row r="12" spans="2:8">
      <c r="B12" s="207" t="s">
        <v>417</v>
      </c>
      <c r="C12" s="213"/>
      <c r="D12" s="1"/>
      <c r="E12" s="1"/>
      <c r="F12" s="1"/>
      <c r="G12" s="214"/>
      <c r="H12" s="207" t="s">
        <v>532</v>
      </c>
    </row>
    <row r="13" spans="2:8">
      <c r="B13" s="207" t="s">
        <v>418</v>
      </c>
      <c r="C13" s="1"/>
      <c r="D13" s="1"/>
      <c r="E13" s="1"/>
      <c r="F13" s="1"/>
      <c r="G13" s="1"/>
      <c r="H13" s="205"/>
    </row>
    <row r="14" spans="2:8">
      <c r="B14" s="207" t="s">
        <v>419</v>
      </c>
      <c r="C14" s="1"/>
      <c r="D14" s="1"/>
      <c r="E14" s="1"/>
      <c r="F14" s="1"/>
      <c r="G14" s="1"/>
      <c r="H14" s="205"/>
    </row>
    <row r="15" spans="2:8">
      <c r="B15" s="212"/>
      <c r="C15" s="1"/>
      <c r="D15" s="1"/>
      <c r="E15" s="1"/>
      <c r="F15" s="1"/>
      <c r="G15" s="1"/>
      <c r="H15" s="1"/>
    </row>
    <row r="16" spans="2:8">
      <c r="B16" s="1"/>
      <c r="C16" s="1"/>
      <c r="D16" s="1"/>
      <c r="E16" s="1"/>
      <c r="F16" s="1"/>
      <c r="G16" s="1"/>
      <c r="H16" s="1"/>
    </row>
    <row r="17" spans="2:15">
      <c r="B17" s="210" t="s">
        <v>452</v>
      </c>
      <c r="C17" s="210" t="s">
        <v>403</v>
      </c>
      <c r="D17" s="221" t="s">
        <v>449</v>
      </c>
      <c r="E17" s="210" t="s">
        <v>404</v>
      </c>
      <c r="F17" s="210" t="s">
        <v>447</v>
      </c>
      <c r="G17" s="210" t="s">
        <v>457</v>
      </c>
      <c r="H17" s="210" t="s">
        <v>448</v>
      </c>
      <c r="I17" s="210" t="s">
        <v>430</v>
      </c>
    </row>
    <row r="18" spans="2:15">
      <c r="B18" s="207" t="s">
        <v>408</v>
      </c>
      <c r="C18" s="207" t="s">
        <v>420</v>
      </c>
      <c r="D18" s="207" t="s">
        <v>440</v>
      </c>
      <c r="E18" s="215" t="s">
        <v>424</v>
      </c>
      <c r="F18" s="207" t="s">
        <v>453</v>
      </c>
      <c r="G18" s="226" t="s">
        <v>459</v>
      </c>
      <c r="H18" s="234" t="s">
        <v>204</v>
      </c>
      <c r="I18" s="208" t="s">
        <v>283</v>
      </c>
      <c r="J18" s="22"/>
      <c r="K18" s="22"/>
      <c r="L18" s="22"/>
      <c r="M18" s="22"/>
      <c r="N18" s="22"/>
      <c r="O18" s="22"/>
    </row>
    <row r="19" spans="2:15">
      <c r="B19" s="207" t="s">
        <v>409</v>
      </c>
      <c r="C19" s="207" t="s">
        <v>421</v>
      </c>
      <c r="D19" s="207" t="s">
        <v>14</v>
      </c>
      <c r="E19" s="215" t="s">
        <v>399</v>
      </c>
      <c r="F19" s="207" t="s">
        <v>454</v>
      </c>
      <c r="G19" s="226" t="s">
        <v>460</v>
      </c>
      <c r="H19" s="234" t="s">
        <v>205</v>
      </c>
      <c r="I19" s="208" t="s">
        <v>253</v>
      </c>
      <c r="J19" s="22"/>
      <c r="K19" s="22"/>
      <c r="L19" s="22"/>
      <c r="M19" s="22"/>
      <c r="N19" s="22"/>
      <c r="O19" s="22"/>
    </row>
    <row r="20" spans="2:15">
      <c r="B20" s="207" t="s">
        <v>410</v>
      </c>
      <c r="C20" s="207" t="s">
        <v>422</v>
      </c>
      <c r="D20" s="207" t="s">
        <v>15</v>
      </c>
      <c r="E20" s="212"/>
      <c r="F20" s="207" t="s">
        <v>446</v>
      </c>
      <c r="G20" s="216"/>
      <c r="H20" s="234" t="s">
        <v>213</v>
      </c>
      <c r="I20" s="209" t="s">
        <v>284</v>
      </c>
      <c r="J20" s="22"/>
      <c r="K20" s="22"/>
      <c r="L20" s="22"/>
      <c r="M20" s="22"/>
      <c r="N20" s="22"/>
      <c r="O20" s="22"/>
    </row>
    <row r="21" spans="2:15">
      <c r="B21" s="207" t="s">
        <v>411</v>
      </c>
      <c r="C21" s="207" t="s">
        <v>423</v>
      </c>
      <c r="D21" s="207" t="s">
        <v>16</v>
      </c>
      <c r="E21" s="1"/>
      <c r="F21" s="207" t="s">
        <v>97</v>
      </c>
      <c r="G21" s="217"/>
      <c r="H21" s="234" t="s">
        <v>214</v>
      </c>
      <c r="I21" s="208" t="s">
        <v>285</v>
      </c>
      <c r="J21" s="22"/>
      <c r="K21" s="22"/>
      <c r="L21" s="22"/>
      <c r="M21" s="22"/>
      <c r="N21" s="22"/>
      <c r="O21" s="22"/>
    </row>
    <row r="22" spans="2:15">
      <c r="B22" s="207" t="s">
        <v>412</v>
      </c>
      <c r="C22" s="211"/>
      <c r="D22" s="222" t="s">
        <v>17</v>
      </c>
      <c r="E22" s="1"/>
      <c r="F22" s="222" t="s">
        <v>98</v>
      </c>
      <c r="G22" s="214"/>
      <c r="H22" s="234" t="s">
        <v>215</v>
      </c>
      <c r="I22" s="208" t="s">
        <v>254</v>
      </c>
      <c r="J22" s="22"/>
      <c r="K22" s="22"/>
      <c r="L22" s="22"/>
      <c r="M22" s="22"/>
      <c r="N22" s="22"/>
      <c r="O22" s="22"/>
    </row>
    <row r="23" spans="2:15">
      <c r="B23" s="207" t="s">
        <v>413</v>
      </c>
      <c r="C23" s="213"/>
      <c r="D23" s="222" t="s">
        <v>18</v>
      </c>
      <c r="E23" s="1"/>
      <c r="F23" s="222" t="s">
        <v>12</v>
      </c>
      <c r="G23" s="214"/>
      <c r="H23" s="233" t="s">
        <v>216</v>
      </c>
      <c r="I23" s="208" t="s">
        <v>286</v>
      </c>
      <c r="J23" s="239"/>
      <c r="K23" s="239"/>
      <c r="L23" s="239"/>
      <c r="M23" s="239"/>
      <c r="N23" s="239"/>
      <c r="O23" s="239"/>
    </row>
    <row r="24" spans="2:15">
      <c r="B24" s="207" t="s">
        <v>414</v>
      </c>
      <c r="C24" s="213"/>
      <c r="D24" s="1"/>
      <c r="E24" s="1"/>
      <c r="F24" s="222" t="s">
        <v>13</v>
      </c>
      <c r="G24" s="214"/>
      <c r="H24" s="234" t="s">
        <v>217</v>
      </c>
      <c r="I24" s="208" t="s">
        <v>441</v>
      </c>
      <c r="J24" s="22"/>
      <c r="K24" s="22"/>
      <c r="L24" s="22"/>
      <c r="M24" s="22"/>
      <c r="N24" s="22"/>
      <c r="O24" s="22"/>
    </row>
    <row r="25" spans="2:15">
      <c r="B25" s="207" t="s">
        <v>415</v>
      </c>
      <c r="C25" s="213"/>
      <c r="D25" s="1"/>
      <c r="E25" s="1"/>
      <c r="F25" s="1"/>
      <c r="G25" s="214"/>
      <c r="H25" s="233" t="s">
        <v>218</v>
      </c>
      <c r="I25" s="208" t="s">
        <v>255</v>
      </c>
      <c r="J25" s="239"/>
      <c r="K25" s="239"/>
      <c r="L25" s="239"/>
      <c r="M25" s="239"/>
      <c r="N25" s="239"/>
      <c r="O25" s="239"/>
    </row>
    <row r="26" spans="2:15">
      <c r="B26" s="207" t="s">
        <v>416</v>
      </c>
      <c r="C26" s="213"/>
      <c r="D26" s="1"/>
      <c r="E26" s="1"/>
      <c r="F26" s="1"/>
      <c r="G26" s="214"/>
      <c r="H26" s="233" t="s">
        <v>219</v>
      </c>
      <c r="I26" s="208" t="s">
        <v>427</v>
      </c>
      <c r="J26" s="239"/>
      <c r="K26" s="239"/>
      <c r="L26" s="239"/>
      <c r="M26" s="239"/>
      <c r="N26" s="239"/>
      <c r="O26" s="239"/>
    </row>
    <row r="27" spans="2:15">
      <c r="B27" s="207" t="s">
        <v>417</v>
      </c>
      <c r="C27" s="213"/>
      <c r="D27" s="1"/>
      <c r="E27" s="1"/>
      <c r="F27" s="1"/>
      <c r="G27" s="214"/>
      <c r="H27" s="233" t="s">
        <v>221</v>
      </c>
      <c r="I27" s="303" t="s">
        <v>532</v>
      </c>
      <c r="J27" s="239"/>
      <c r="K27" s="239"/>
      <c r="L27" s="239"/>
      <c r="M27" s="239"/>
      <c r="N27" s="239"/>
      <c r="O27" s="239"/>
    </row>
    <row r="28" spans="2:15">
      <c r="B28" s="207" t="s">
        <v>418</v>
      </c>
      <c r="C28" s="1"/>
      <c r="D28" s="1"/>
      <c r="E28" s="1"/>
      <c r="F28" s="1"/>
      <c r="G28" s="1"/>
      <c r="H28" s="233" t="s">
        <v>220</v>
      </c>
      <c r="I28" s="238"/>
      <c r="J28" s="239"/>
      <c r="K28" s="239"/>
      <c r="L28" s="239"/>
      <c r="M28" s="239"/>
      <c r="N28" s="239"/>
      <c r="O28" s="239"/>
    </row>
    <row r="29" spans="2:15">
      <c r="B29" s="207" t="s">
        <v>419</v>
      </c>
      <c r="C29" s="1"/>
      <c r="D29" s="1"/>
      <c r="E29" s="1"/>
      <c r="F29" s="1"/>
      <c r="G29" s="1"/>
      <c r="H29" s="233" t="s">
        <v>222</v>
      </c>
      <c r="I29" s="238"/>
      <c r="J29" s="239"/>
      <c r="K29" s="239"/>
      <c r="L29" s="239"/>
      <c r="M29" s="239"/>
      <c r="N29" s="239"/>
      <c r="O29" s="239"/>
    </row>
    <row r="30" spans="2:15">
      <c r="H30" s="234" t="s">
        <v>223</v>
      </c>
      <c r="I30" s="237"/>
      <c r="J30" s="22"/>
      <c r="K30" s="22"/>
      <c r="L30" s="22"/>
      <c r="M30" s="22"/>
      <c r="N30" s="22"/>
      <c r="O30" s="22"/>
    </row>
    <row r="31" spans="2:15">
      <c r="H31" s="235" t="s">
        <v>515</v>
      </c>
      <c r="I31" s="240"/>
      <c r="J31" s="241"/>
      <c r="K31" s="241"/>
      <c r="L31" s="241"/>
      <c r="M31" s="241"/>
      <c r="N31" s="241"/>
      <c r="O31" s="241"/>
    </row>
    <row r="32" spans="2:15">
      <c r="H32" s="235" t="s">
        <v>516</v>
      </c>
      <c r="I32" s="240"/>
      <c r="J32" s="241"/>
      <c r="K32" s="241"/>
      <c r="L32" s="241"/>
      <c r="M32" s="241"/>
      <c r="N32" s="241"/>
      <c r="O32" s="241"/>
    </row>
    <row r="33" spans="2:15">
      <c r="H33" s="234" t="s">
        <v>114</v>
      </c>
      <c r="I33" s="237"/>
      <c r="J33" s="22"/>
      <c r="K33" s="22"/>
      <c r="L33" s="22"/>
      <c r="M33" s="22"/>
      <c r="N33" s="22"/>
      <c r="O33" s="22"/>
    </row>
    <row r="34" spans="2:15">
      <c r="H34" s="236" t="s">
        <v>157</v>
      </c>
      <c r="I34" s="242"/>
      <c r="J34" s="157"/>
      <c r="K34" s="157"/>
      <c r="L34" s="157"/>
      <c r="M34" s="157"/>
      <c r="N34" s="157"/>
      <c r="O34" s="26"/>
    </row>
    <row r="35" spans="2:15">
      <c r="J35" s="243"/>
      <c r="K35" s="243"/>
      <c r="L35" s="243"/>
      <c r="M35" s="243"/>
      <c r="N35" s="243"/>
      <c r="O35" s="243"/>
    </row>
    <row r="37" spans="2:15">
      <c r="B37" s="305" t="s">
        <v>541</v>
      </c>
      <c r="C37" s="221" t="s">
        <v>543</v>
      </c>
    </row>
    <row r="38" spans="2:15" s="172" customFormat="1">
      <c r="B38" s="304" t="s">
        <v>542</v>
      </c>
      <c r="C38" s="207">
        <v>1</v>
      </c>
    </row>
    <row r="39" spans="2:15">
      <c r="B39" s="215" t="s">
        <v>539</v>
      </c>
      <c r="C39" s="207">
        <v>2</v>
      </c>
    </row>
    <row r="40" spans="2:15">
      <c r="B40" s="215" t="s">
        <v>540</v>
      </c>
      <c r="C40" s="207">
        <v>3</v>
      </c>
    </row>
    <row r="41" spans="2:15">
      <c r="C41" s="207">
        <v>4</v>
      </c>
    </row>
    <row r="42" spans="2:15">
      <c r="C42" s="207">
        <v>5</v>
      </c>
    </row>
    <row r="43" spans="2:15">
      <c r="C43" s="207">
        <v>6</v>
      </c>
    </row>
    <row r="44" spans="2:15">
      <c r="C44" s="207">
        <v>7</v>
      </c>
    </row>
    <row r="45" spans="2:15">
      <c r="C45" s="207">
        <v>8</v>
      </c>
    </row>
    <row r="46" spans="2:15">
      <c r="C46" s="207">
        <v>9</v>
      </c>
    </row>
    <row r="47" spans="2:15">
      <c r="C47" s="207">
        <v>10</v>
      </c>
    </row>
    <row r="48" spans="2:15">
      <c r="C48" s="207">
        <v>11</v>
      </c>
    </row>
    <row r="49" spans="3:3">
      <c r="C49" s="207">
        <v>12</v>
      </c>
    </row>
  </sheetData>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E43B4-C72C-4DD8-9237-AACA3D3D3866}">
  <dimension ref="A1:ABB14"/>
  <sheetViews>
    <sheetView workbookViewId="0">
      <pane xSplit="1" ySplit="5" topLeftCell="B6" activePane="bottomRight" state="frozen"/>
      <selection pane="topRight" activeCell="B1" sqref="B1"/>
      <selection pane="bottomLeft" activeCell="A6" sqref="A6"/>
      <selection pane="bottomRight" activeCell="A6" sqref="A6"/>
    </sheetView>
  </sheetViews>
  <sheetFormatPr defaultRowHeight="18"/>
  <cols>
    <col min="1" max="1" width="14.75" style="3" customWidth="1"/>
    <col min="3" max="6" width="14.75" style="3" customWidth="1"/>
    <col min="7" max="252" width="5.08203125" style="3" customWidth="1"/>
    <col min="253" max="373" width="5.08203125" customWidth="1"/>
    <col min="374" max="388" width="5.08203125" style="3" customWidth="1"/>
    <col min="389" max="509" width="5.08203125" style="172" customWidth="1"/>
    <col min="510" max="524" width="5.08203125" style="3" customWidth="1"/>
    <col min="525" max="645" width="5.08203125" style="172" customWidth="1"/>
    <col min="646" max="646" width="15.58203125" style="172" customWidth="1"/>
    <col min="647" max="672" width="4.58203125" style="172" customWidth="1"/>
    <col min="673" max="674" width="4.58203125" customWidth="1"/>
    <col min="675" max="730" width="4.58203125" style="172" customWidth="1"/>
  </cols>
  <sheetData>
    <row r="1" spans="1:730" ht="45.65" customHeight="1"/>
    <row r="2" spans="1:730">
      <c r="A2" s="743" t="s">
        <v>209</v>
      </c>
      <c r="B2" s="744"/>
      <c r="C2" s="744"/>
      <c r="D2" s="744"/>
      <c r="E2" s="744"/>
      <c r="F2" s="745"/>
      <c r="G2" s="752" t="s">
        <v>91</v>
      </c>
      <c r="H2" s="753"/>
      <c r="I2" s="753"/>
      <c r="J2" s="753"/>
      <c r="K2" s="753"/>
      <c r="L2" s="753"/>
      <c r="M2" s="753"/>
      <c r="N2" s="753"/>
      <c r="O2" s="753"/>
      <c r="P2" s="753"/>
      <c r="Q2" s="753"/>
      <c r="R2" s="754"/>
      <c r="S2" s="749" t="s">
        <v>100</v>
      </c>
      <c r="T2" s="750"/>
      <c r="U2" s="750"/>
      <c r="V2" s="750"/>
      <c r="W2" s="750"/>
      <c r="X2" s="750"/>
      <c r="Y2" s="750"/>
      <c r="Z2" s="750"/>
      <c r="AA2" s="750"/>
      <c r="AB2" s="750"/>
      <c r="AC2" s="750"/>
      <c r="AD2" s="751"/>
      <c r="AE2" s="738" t="s">
        <v>103</v>
      </c>
      <c r="AF2" s="739"/>
      <c r="AG2" s="739"/>
      <c r="AH2" s="739"/>
      <c r="AI2" s="739"/>
      <c r="AJ2" s="739"/>
      <c r="AK2" s="739"/>
      <c r="AL2" s="739"/>
      <c r="AM2" s="739"/>
      <c r="AN2" s="739"/>
      <c r="AO2" s="739"/>
      <c r="AP2" s="740"/>
      <c r="AQ2" s="738" t="s">
        <v>244</v>
      </c>
      <c r="AR2" s="739"/>
      <c r="AS2" s="739"/>
      <c r="AT2" s="739"/>
      <c r="AU2" s="739"/>
      <c r="AV2" s="740"/>
      <c r="AW2" s="735" t="s">
        <v>559</v>
      </c>
      <c r="AX2" s="705" t="s">
        <v>496</v>
      </c>
      <c r="AY2" s="706"/>
      <c r="AZ2" s="706"/>
      <c r="BA2" s="706"/>
      <c r="BB2" s="706"/>
      <c r="BC2" s="706"/>
      <c r="BD2" s="706"/>
      <c r="BE2" s="706"/>
      <c r="BF2" s="706"/>
      <c r="BG2" s="706"/>
      <c r="BH2" s="706"/>
      <c r="BI2" s="706"/>
      <c r="BJ2" s="706"/>
      <c r="BK2" s="706"/>
      <c r="BL2" s="707"/>
      <c r="BM2" s="702" t="s">
        <v>480</v>
      </c>
      <c r="BN2" s="703"/>
      <c r="BO2" s="704"/>
      <c r="BP2" s="705" t="s">
        <v>497</v>
      </c>
      <c r="BQ2" s="706"/>
      <c r="BR2" s="706"/>
      <c r="BS2" s="706"/>
      <c r="BT2" s="706"/>
      <c r="BU2" s="706"/>
      <c r="BV2" s="706"/>
      <c r="BW2" s="706"/>
      <c r="BX2" s="706"/>
      <c r="BY2" s="706"/>
      <c r="BZ2" s="706"/>
      <c r="CA2" s="706"/>
      <c r="CB2" s="706"/>
      <c r="CC2" s="706"/>
      <c r="CD2" s="707"/>
      <c r="CE2" s="705" t="s">
        <v>498</v>
      </c>
      <c r="CF2" s="706"/>
      <c r="CG2" s="706"/>
      <c r="CH2" s="706"/>
      <c r="CI2" s="706"/>
      <c r="CJ2" s="706"/>
      <c r="CK2" s="706"/>
      <c r="CL2" s="706"/>
      <c r="CM2" s="706"/>
      <c r="CN2" s="706"/>
      <c r="CO2" s="706"/>
      <c r="CP2" s="706"/>
      <c r="CQ2" s="706"/>
      <c r="CR2" s="706"/>
      <c r="CS2" s="706"/>
      <c r="CT2" s="706"/>
      <c r="CU2" s="706"/>
      <c r="CV2" s="706"/>
      <c r="CW2" s="706"/>
      <c r="CX2" s="706"/>
      <c r="CY2" s="706"/>
      <c r="CZ2" s="706"/>
      <c r="DA2" s="706"/>
      <c r="DB2" s="706"/>
      <c r="DC2" s="706"/>
      <c r="DD2" s="706"/>
      <c r="DE2" s="706"/>
      <c r="DF2" s="706"/>
      <c r="DG2" s="706"/>
      <c r="DH2" s="707"/>
      <c r="DI2" s="705" t="s">
        <v>503</v>
      </c>
      <c r="DJ2" s="706"/>
      <c r="DK2" s="706"/>
      <c r="DL2" s="706"/>
      <c r="DM2" s="706"/>
      <c r="DN2" s="706"/>
      <c r="DO2" s="706"/>
      <c r="DP2" s="706"/>
      <c r="DQ2" s="706"/>
      <c r="DR2" s="706"/>
      <c r="DS2" s="706"/>
      <c r="DT2" s="706"/>
      <c r="DU2" s="706"/>
      <c r="DV2" s="706"/>
      <c r="DW2" s="706"/>
      <c r="DX2" s="706"/>
      <c r="DY2" s="706"/>
      <c r="DZ2" s="706"/>
      <c r="EA2" s="706"/>
      <c r="EB2" s="706"/>
      <c r="EC2" s="706"/>
      <c r="ED2" s="706"/>
      <c r="EE2" s="706"/>
      <c r="EF2" s="706"/>
      <c r="EG2" s="706"/>
      <c r="EH2" s="706"/>
      <c r="EI2" s="706"/>
      <c r="EJ2" s="706"/>
      <c r="EK2" s="706"/>
      <c r="EL2" s="707"/>
      <c r="EM2" s="705" t="s">
        <v>202</v>
      </c>
      <c r="EN2" s="706"/>
      <c r="EO2" s="706"/>
      <c r="EP2" s="706"/>
      <c r="EQ2" s="706"/>
      <c r="ER2" s="706"/>
      <c r="ES2" s="706"/>
      <c r="ET2" s="706"/>
      <c r="EU2" s="706"/>
      <c r="EV2" s="706"/>
      <c r="EW2" s="706"/>
      <c r="EX2" s="706"/>
      <c r="EY2" s="706"/>
      <c r="EZ2" s="706"/>
      <c r="FA2" s="706"/>
      <c r="FB2" s="706"/>
      <c r="FC2" s="706"/>
      <c r="FD2" s="706"/>
      <c r="FE2" s="706"/>
      <c r="FF2" s="706"/>
      <c r="FG2" s="707"/>
      <c r="FH2" s="702" t="s">
        <v>510</v>
      </c>
      <c r="FI2" s="704"/>
      <c r="FJ2" s="705" t="s">
        <v>93</v>
      </c>
      <c r="FK2" s="706"/>
      <c r="FL2" s="706"/>
      <c r="FM2" s="706"/>
      <c r="FN2" s="706"/>
      <c r="FO2" s="706"/>
      <c r="FP2" s="706"/>
      <c r="FQ2" s="706"/>
      <c r="FR2" s="706"/>
      <c r="FS2" s="706"/>
      <c r="FT2" s="706"/>
      <c r="FU2" s="706"/>
      <c r="FV2" s="706"/>
      <c r="FW2" s="706"/>
      <c r="FX2" s="706"/>
      <c r="FY2" s="706"/>
      <c r="FZ2" s="706"/>
      <c r="GA2" s="706"/>
      <c r="GB2" s="706"/>
      <c r="GC2" s="706"/>
      <c r="GD2" s="706"/>
      <c r="GE2" s="706"/>
      <c r="GF2" s="706"/>
      <c r="GG2" s="706"/>
      <c r="GH2" s="706"/>
      <c r="GI2" s="706"/>
      <c r="GJ2" s="706"/>
      <c r="GK2" s="706"/>
      <c r="GL2" s="706"/>
      <c r="GM2" s="707"/>
      <c r="GN2" s="705" t="s">
        <v>94</v>
      </c>
      <c r="GO2" s="706"/>
      <c r="GP2" s="706"/>
      <c r="GQ2" s="706"/>
      <c r="GR2" s="706"/>
      <c r="GS2" s="706"/>
      <c r="GT2" s="706"/>
      <c r="GU2" s="706"/>
      <c r="GV2" s="706"/>
      <c r="GW2" s="706"/>
      <c r="GX2" s="706"/>
      <c r="GY2" s="706"/>
      <c r="GZ2" s="706"/>
      <c r="HA2" s="706"/>
      <c r="HB2" s="706"/>
      <c r="HC2" s="706"/>
      <c r="HD2" s="706"/>
      <c r="HE2" s="706"/>
      <c r="HF2" s="706"/>
      <c r="HG2" s="706"/>
      <c r="HH2" s="707"/>
      <c r="HI2" s="705" t="s">
        <v>38</v>
      </c>
      <c r="HJ2" s="706"/>
      <c r="HK2" s="706"/>
      <c r="HL2" s="706"/>
      <c r="HM2" s="706"/>
      <c r="HN2" s="706"/>
      <c r="HO2" s="706"/>
      <c r="HP2" s="706"/>
      <c r="HQ2" s="706"/>
      <c r="HR2" s="706"/>
      <c r="HS2" s="706"/>
      <c r="HT2" s="706"/>
      <c r="HU2" s="706"/>
      <c r="HV2" s="706"/>
      <c r="HW2" s="706"/>
      <c r="HX2" s="706"/>
      <c r="HY2" s="706"/>
      <c r="HZ2" s="706"/>
      <c r="IA2" s="706"/>
      <c r="IB2" s="706"/>
      <c r="IC2" s="707"/>
      <c r="ID2" s="705"/>
      <c r="IE2" s="706"/>
      <c r="IF2" s="706"/>
      <c r="IG2" s="706"/>
      <c r="IH2" s="706"/>
      <c r="II2" s="706"/>
      <c r="IJ2" s="706"/>
      <c r="IK2" s="706"/>
      <c r="IL2" s="706"/>
      <c r="IM2" s="706"/>
      <c r="IN2" s="706"/>
      <c r="IO2" s="706"/>
      <c r="IP2" s="706"/>
      <c r="IQ2" s="706"/>
      <c r="IR2" s="706"/>
      <c r="IS2" s="706"/>
      <c r="IT2" s="706"/>
      <c r="IU2" s="706"/>
      <c r="IV2" s="706"/>
      <c r="IW2" s="706"/>
      <c r="IX2" s="706"/>
      <c r="IY2" s="706"/>
      <c r="IZ2" s="706"/>
      <c r="JA2" s="706"/>
      <c r="JB2" s="706"/>
      <c r="JC2" s="706"/>
      <c r="JD2" s="706"/>
      <c r="JE2" s="706"/>
      <c r="JF2" s="706"/>
      <c r="JG2" s="706"/>
      <c r="JH2" s="706"/>
      <c r="JI2" s="706"/>
      <c r="JJ2" s="706"/>
      <c r="JK2" s="706"/>
      <c r="JL2" s="706"/>
      <c r="JM2" s="706"/>
      <c r="JN2" s="706"/>
      <c r="JO2" s="706"/>
      <c r="JP2" s="706"/>
      <c r="JQ2" s="706"/>
      <c r="JR2" s="706"/>
      <c r="JS2" s="706"/>
      <c r="JT2" s="706"/>
      <c r="JU2" s="706"/>
      <c r="JV2" s="706"/>
      <c r="JW2" s="706"/>
      <c r="JX2" s="706"/>
      <c r="JY2" s="706"/>
      <c r="JZ2" s="706"/>
      <c r="KA2" s="706"/>
      <c r="KB2" s="706"/>
      <c r="KC2" s="706"/>
      <c r="KD2" s="706"/>
      <c r="KE2" s="706"/>
      <c r="KF2" s="706"/>
      <c r="KG2" s="706"/>
      <c r="KH2" s="706"/>
      <c r="KI2" s="706"/>
      <c r="KJ2" s="706"/>
      <c r="KK2" s="706"/>
      <c r="KL2" s="706"/>
      <c r="KM2" s="706"/>
      <c r="KN2" s="706"/>
      <c r="KO2" s="706"/>
      <c r="KP2" s="706"/>
      <c r="KQ2" s="706"/>
      <c r="KR2" s="706"/>
      <c r="KS2" s="706"/>
      <c r="KT2" s="706"/>
      <c r="KU2" s="706"/>
      <c r="KV2" s="706"/>
      <c r="KW2" s="706"/>
      <c r="KX2" s="706"/>
      <c r="KY2" s="706"/>
      <c r="KZ2" s="706"/>
      <c r="LA2" s="706"/>
      <c r="LB2" s="706"/>
      <c r="LC2" s="706"/>
      <c r="LD2" s="706"/>
      <c r="LE2" s="706"/>
      <c r="LF2" s="706"/>
      <c r="LG2" s="706"/>
      <c r="LH2" s="706"/>
      <c r="LI2" s="706"/>
      <c r="LJ2" s="706"/>
      <c r="LK2" s="706"/>
      <c r="LL2" s="706"/>
      <c r="LM2" s="706"/>
      <c r="LN2" s="706"/>
      <c r="LO2" s="706"/>
      <c r="LP2" s="706"/>
      <c r="LQ2" s="706"/>
      <c r="LR2" s="706"/>
      <c r="LS2" s="706"/>
      <c r="LT2" s="706"/>
      <c r="LU2" s="706"/>
      <c r="LV2" s="706"/>
      <c r="LW2" s="706"/>
      <c r="LX2" s="706"/>
      <c r="LY2" s="706"/>
      <c r="LZ2" s="706"/>
      <c r="MA2" s="706"/>
      <c r="MB2" s="706"/>
      <c r="MC2" s="706"/>
      <c r="MD2" s="706"/>
      <c r="ME2" s="706"/>
      <c r="MF2" s="706"/>
      <c r="MG2" s="706"/>
      <c r="MH2" s="706"/>
      <c r="MI2" s="706"/>
      <c r="MJ2" s="706"/>
      <c r="MK2" s="706"/>
      <c r="ML2" s="706"/>
      <c r="MM2" s="706"/>
      <c r="MN2" s="706"/>
      <c r="MO2" s="706"/>
      <c r="MP2" s="706"/>
      <c r="MQ2" s="706"/>
      <c r="MR2" s="706"/>
      <c r="MS2" s="706"/>
      <c r="MT2" s="706"/>
      <c r="MU2" s="706"/>
      <c r="MV2" s="706"/>
      <c r="MW2" s="706"/>
      <c r="MX2" s="706"/>
      <c r="MY2" s="706"/>
      <c r="MZ2" s="706"/>
      <c r="NA2" s="706"/>
      <c r="NB2" s="706"/>
      <c r="NC2" s="706"/>
      <c r="ND2" s="706"/>
      <c r="NE2" s="706"/>
      <c r="NF2" s="706"/>
      <c r="NG2" s="706"/>
      <c r="NH2" s="706"/>
      <c r="NI2" s="706"/>
      <c r="NJ2" s="705"/>
      <c r="NK2" s="706"/>
      <c r="NL2" s="706"/>
      <c r="NM2" s="706"/>
      <c r="NN2" s="706"/>
      <c r="NO2" s="706"/>
      <c r="NP2" s="706"/>
      <c r="NQ2" s="706"/>
      <c r="NR2" s="706"/>
      <c r="NS2" s="706"/>
      <c r="NT2" s="706"/>
      <c r="NU2" s="706"/>
      <c r="NV2" s="706"/>
      <c r="NW2" s="706"/>
      <c r="NX2" s="706"/>
      <c r="NY2" s="706"/>
      <c r="NZ2" s="706"/>
      <c r="OA2" s="706"/>
      <c r="OB2" s="706"/>
      <c r="OC2" s="706"/>
      <c r="OD2" s="706"/>
      <c r="OE2" s="706"/>
      <c r="OF2" s="706"/>
      <c r="OG2" s="706"/>
      <c r="OH2" s="706"/>
      <c r="OI2" s="706"/>
      <c r="OJ2" s="706"/>
      <c r="OK2" s="706"/>
      <c r="OL2" s="706"/>
      <c r="OM2" s="706"/>
      <c r="ON2" s="706"/>
      <c r="OO2" s="706"/>
      <c r="OP2" s="706"/>
      <c r="OQ2" s="706"/>
      <c r="OR2" s="706"/>
      <c r="OS2" s="706"/>
      <c r="OT2" s="706"/>
      <c r="OU2" s="706"/>
      <c r="OV2" s="706"/>
      <c r="OW2" s="706"/>
      <c r="OX2" s="706"/>
      <c r="OY2" s="706"/>
      <c r="OZ2" s="706"/>
      <c r="PA2" s="706"/>
      <c r="PB2" s="706"/>
      <c r="PC2" s="706"/>
      <c r="PD2" s="706"/>
      <c r="PE2" s="706"/>
      <c r="PF2" s="706"/>
      <c r="PG2" s="706"/>
      <c r="PH2" s="706"/>
      <c r="PI2" s="706"/>
      <c r="PJ2" s="706"/>
      <c r="PK2" s="706"/>
      <c r="PL2" s="706"/>
      <c r="PM2" s="706"/>
      <c r="PN2" s="706"/>
      <c r="PO2" s="706"/>
      <c r="PP2" s="706"/>
      <c r="PQ2" s="706"/>
      <c r="PR2" s="706"/>
      <c r="PS2" s="706"/>
      <c r="PT2" s="706"/>
      <c r="PU2" s="706"/>
      <c r="PV2" s="706"/>
      <c r="PW2" s="706"/>
      <c r="PX2" s="706"/>
      <c r="PY2" s="706"/>
      <c r="PZ2" s="706"/>
      <c r="QA2" s="706"/>
      <c r="QB2" s="706"/>
      <c r="QC2" s="706"/>
      <c r="QD2" s="706"/>
      <c r="QE2" s="706"/>
      <c r="QF2" s="706"/>
      <c r="QG2" s="706"/>
      <c r="QH2" s="706"/>
      <c r="QI2" s="706"/>
      <c r="QJ2" s="706"/>
      <c r="QK2" s="706"/>
      <c r="QL2" s="706"/>
      <c r="QM2" s="706"/>
      <c r="QN2" s="706"/>
      <c r="QO2" s="706"/>
      <c r="QP2" s="706"/>
      <c r="QQ2" s="706"/>
      <c r="QR2" s="706"/>
      <c r="QS2" s="706"/>
      <c r="QT2" s="706"/>
      <c r="QU2" s="706"/>
      <c r="QV2" s="706"/>
      <c r="QW2" s="706"/>
      <c r="QX2" s="706"/>
      <c r="QY2" s="706"/>
      <c r="QZ2" s="706"/>
      <c r="RA2" s="706"/>
      <c r="RB2" s="706"/>
      <c r="RC2" s="706"/>
      <c r="RD2" s="706"/>
      <c r="RE2" s="706"/>
      <c r="RF2" s="706"/>
      <c r="RG2" s="706"/>
      <c r="RH2" s="706"/>
      <c r="RI2" s="706"/>
      <c r="RJ2" s="706"/>
      <c r="RK2" s="706"/>
      <c r="RL2" s="706"/>
      <c r="RM2" s="706"/>
      <c r="RN2" s="706"/>
      <c r="RO2" s="706"/>
      <c r="RP2" s="706"/>
      <c r="RQ2" s="706"/>
      <c r="RR2" s="706"/>
      <c r="RS2" s="706"/>
      <c r="RT2" s="706"/>
      <c r="RU2" s="706"/>
      <c r="RV2" s="706"/>
      <c r="RW2" s="706"/>
      <c r="RX2" s="706"/>
      <c r="RY2" s="706"/>
      <c r="RZ2" s="706"/>
      <c r="SA2" s="706"/>
      <c r="SB2" s="706"/>
      <c r="SC2" s="706"/>
      <c r="SD2" s="706"/>
      <c r="SE2" s="706"/>
      <c r="SF2" s="706"/>
      <c r="SG2" s="706"/>
      <c r="SH2" s="706"/>
      <c r="SI2" s="706"/>
      <c r="SJ2" s="706"/>
      <c r="SK2" s="706"/>
      <c r="SL2" s="706"/>
      <c r="SM2" s="706"/>
      <c r="SN2" s="706"/>
      <c r="SO2" s="706"/>
      <c r="SP2" s="705"/>
      <c r="SQ2" s="706"/>
      <c r="SR2" s="706"/>
      <c r="SS2" s="706"/>
      <c r="ST2" s="706"/>
      <c r="SU2" s="706"/>
      <c r="SV2" s="706"/>
      <c r="SW2" s="706"/>
      <c r="SX2" s="706"/>
      <c r="SY2" s="706"/>
      <c r="SZ2" s="706"/>
      <c r="TA2" s="706"/>
      <c r="TB2" s="706"/>
      <c r="TC2" s="706"/>
      <c r="TD2" s="706"/>
      <c r="TE2" s="706"/>
      <c r="TF2" s="706"/>
      <c r="TG2" s="706"/>
      <c r="TH2" s="706"/>
      <c r="TI2" s="706"/>
      <c r="TJ2" s="706"/>
      <c r="TK2" s="706"/>
      <c r="TL2" s="706"/>
      <c r="TM2" s="706"/>
      <c r="TN2" s="706"/>
      <c r="TO2" s="706"/>
      <c r="TP2" s="706"/>
      <c r="TQ2" s="706"/>
      <c r="TR2" s="706"/>
      <c r="TS2" s="706"/>
      <c r="TT2" s="706"/>
      <c r="TU2" s="706"/>
      <c r="TV2" s="706"/>
      <c r="TW2" s="706"/>
      <c r="TX2" s="706"/>
      <c r="TY2" s="706"/>
      <c r="TZ2" s="706"/>
      <c r="UA2" s="706"/>
      <c r="UB2" s="706"/>
      <c r="UC2" s="706"/>
      <c r="UD2" s="706"/>
      <c r="UE2" s="706"/>
      <c r="UF2" s="706"/>
      <c r="UG2" s="706"/>
      <c r="UH2" s="706"/>
      <c r="UI2" s="706"/>
      <c r="UJ2" s="706"/>
      <c r="UK2" s="706"/>
      <c r="UL2" s="706"/>
      <c r="UM2" s="706"/>
      <c r="UN2" s="706"/>
      <c r="UO2" s="706"/>
      <c r="UP2" s="706"/>
      <c r="UQ2" s="706"/>
      <c r="UR2" s="706"/>
      <c r="US2" s="706"/>
      <c r="UT2" s="706"/>
      <c r="UU2" s="706"/>
      <c r="UV2" s="706"/>
      <c r="UW2" s="706"/>
      <c r="UX2" s="706"/>
      <c r="UY2" s="706"/>
      <c r="UZ2" s="706"/>
      <c r="VA2" s="706"/>
      <c r="VB2" s="706"/>
      <c r="VC2" s="706"/>
      <c r="VD2" s="706"/>
      <c r="VE2" s="706"/>
      <c r="VF2" s="706"/>
      <c r="VG2" s="706"/>
      <c r="VH2" s="706"/>
      <c r="VI2" s="706"/>
      <c r="VJ2" s="706"/>
      <c r="VK2" s="706"/>
      <c r="VL2" s="706"/>
      <c r="VM2" s="706"/>
      <c r="VN2" s="706"/>
      <c r="VO2" s="706"/>
      <c r="VP2" s="706"/>
      <c r="VQ2" s="706"/>
      <c r="VR2" s="706"/>
      <c r="VS2" s="706"/>
      <c r="VT2" s="706"/>
      <c r="VU2" s="706"/>
      <c r="VV2" s="706"/>
      <c r="VW2" s="706"/>
      <c r="VX2" s="706"/>
      <c r="VY2" s="706"/>
      <c r="VZ2" s="706"/>
      <c r="WA2" s="706"/>
      <c r="WB2" s="706"/>
      <c r="WC2" s="706"/>
      <c r="WD2" s="706"/>
      <c r="WE2" s="706"/>
      <c r="WF2" s="706"/>
      <c r="WG2" s="706"/>
      <c r="WH2" s="706"/>
      <c r="WI2" s="706"/>
      <c r="WJ2" s="706"/>
      <c r="WK2" s="706"/>
      <c r="WL2" s="706"/>
      <c r="WM2" s="706"/>
      <c r="WN2" s="706"/>
      <c r="WO2" s="706"/>
      <c r="WP2" s="706"/>
      <c r="WQ2" s="706"/>
      <c r="WR2" s="706"/>
      <c r="WS2" s="706"/>
      <c r="WT2" s="706"/>
      <c r="WU2" s="706"/>
      <c r="WV2" s="706"/>
      <c r="WW2" s="706"/>
      <c r="WX2" s="706"/>
      <c r="WY2" s="706"/>
      <c r="WZ2" s="706"/>
      <c r="XA2" s="706"/>
      <c r="XB2" s="706"/>
      <c r="XC2" s="706"/>
      <c r="XD2" s="706"/>
      <c r="XE2" s="706"/>
      <c r="XF2" s="706"/>
      <c r="XG2" s="706"/>
      <c r="XH2" s="706"/>
      <c r="XI2" s="706"/>
      <c r="XJ2" s="706"/>
      <c r="XK2" s="706"/>
      <c r="XL2" s="706"/>
      <c r="XM2" s="706"/>
      <c r="XN2" s="706"/>
      <c r="XO2" s="706"/>
      <c r="XP2" s="706"/>
      <c r="XQ2" s="706"/>
      <c r="XR2" s="706"/>
      <c r="XS2" s="706"/>
      <c r="XT2" s="706"/>
      <c r="XU2" s="706"/>
      <c r="XV2" s="706"/>
      <c r="XW2" s="705" t="s">
        <v>279</v>
      </c>
      <c r="XX2" s="706"/>
      <c r="XY2" s="706"/>
      <c r="XZ2" s="706"/>
      <c r="YA2" s="706"/>
      <c r="YB2" s="706"/>
      <c r="YC2" s="706"/>
      <c r="YD2" s="706"/>
      <c r="YE2" s="706"/>
      <c r="YF2" s="706"/>
      <c r="YG2" s="706"/>
      <c r="YH2" s="706"/>
      <c r="YI2" s="706"/>
      <c r="YJ2" s="706"/>
      <c r="YK2" s="706"/>
      <c r="YL2" s="706"/>
      <c r="YM2" s="706"/>
      <c r="YN2" s="706"/>
      <c r="YO2" s="706"/>
      <c r="YP2" s="706"/>
      <c r="YQ2" s="706"/>
      <c r="YR2" s="706"/>
      <c r="YS2" s="706"/>
      <c r="YT2" s="706"/>
      <c r="YU2" s="706"/>
      <c r="YV2" s="706"/>
      <c r="YW2" s="706"/>
      <c r="YX2" s="706"/>
      <c r="YY2" s="706"/>
      <c r="YZ2" s="706"/>
      <c r="ZA2" s="706"/>
      <c r="ZB2" s="706"/>
      <c r="ZC2" s="706"/>
      <c r="ZD2" s="706"/>
      <c r="ZE2" s="706"/>
      <c r="ZF2" s="706"/>
      <c r="ZG2" s="706"/>
      <c r="ZH2" s="706"/>
      <c r="ZI2" s="706"/>
      <c r="ZJ2" s="706"/>
      <c r="ZK2" s="706"/>
      <c r="ZL2" s="706"/>
      <c r="ZM2" s="706"/>
      <c r="ZN2" s="706"/>
      <c r="ZO2" s="706"/>
      <c r="ZP2" s="706"/>
      <c r="ZQ2" s="706"/>
      <c r="ZR2" s="706"/>
      <c r="ZS2" s="706"/>
      <c r="ZT2" s="706"/>
      <c r="ZU2" s="706"/>
      <c r="ZV2" s="706"/>
      <c r="ZW2" s="706"/>
      <c r="ZX2" s="706"/>
      <c r="ZY2" s="706"/>
      <c r="ZZ2" s="706"/>
      <c r="AAA2" s="706"/>
      <c r="AAB2" s="706"/>
      <c r="AAC2" s="706"/>
      <c r="AAD2" s="706"/>
      <c r="AAE2" s="706"/>
      <c r="AAF2" s="706"/>
      <c r="AAG2" s="706"/>
      <c r="AAH2" s="706"/>
      <c r="AAI2" s="706"/>
      <c r="AAJ2" s="706"/>
      <c r="AAK2" s="706"/>
      <c r="AAL2" s="706"/>
      <c r="AAM2" s="706"/>
      <c r="AAN2" s="706"/>
      <c r="AAO2" s="706"/>
      <c r="AAP2" s="706"/>
      <c r="AAQ2" s="706"/>
      <c r="AAR2" s="706"/>
      <c r="AAS2" s="706"/>
      <c r="AAT2" s="706"/>
      <c r="AAU2" s="706"/>
      <c r="AAV2" s="706"/>
      <c r="AAW2" s="706"/>
      <c r="AAX2" s="706"/>
      <c r="AAY2" s="706"/>
      <c r="AAZ2" s="706"/>
      <c r="ABA2" s="706"/>
      <c r="ABB2" s="707"/>
    </row>
    <row r="3" spans="1:730">
      <c r="A3" s="743"/>
      <c r="B3" s="744"/>
      <c r="C3" s="744"/>
      <c r="D3" s="744"/>
      <c r="E3" s="744"/>
      <c r="F3" s="745"/>
      <c r="G3" s="717" t="s">
        <v>9</v>
      </c>
      <c r="H3" s="718"/>
      <c r="I3" s="718"/>
      <c r="J3" s="718"/>
      <c r="K3" s="718"/>
      <c r="L3" s="719"/>
      <c r="M3" s="717" t="s">
        <v>31</v>
      </c>
      <c r="N3" s="718"/>
      <c r="O3" s="718"/>
      <c r="P3" s="718"/>
      <c r="Q3" s="718"/>
      <c r="R3" s="719"/>
      <c r="S3" s="708" t="s">
        <v>9</v>
      </c>
      <c r="T3" s="709"/>
      <c r="U3" s="709"/>
      <c r="V3" s="709"/>
      <c r="W3" s="709"/>
      <c r="X3" s="710"/>
      <c r="Y3" s="708" t="s">
        <v>31</v>
      </c>
      <c r="Z3" s="709"/>
      <c r="AA3" s="709"/>
      <c r="AB3" s="709"/>
      <c r="AC3" s="709"/>
      <c r="AD3" s="710"/>
      <c r="AE3" s="702" t="s">
        <v>9</v>
      </c>
      <c r="AF3" s="703"/>
      <c r="AG3" s="703"/>
      <c r="AH3" s="703"/>
      <c r="AI3" s="703"/>
      <c r="AJ3" s="704"/>
      <c r="AK3" s="702" t="s">
        <v>31</v>
      </c>
      <c r="AL3" s="703"/>
      <c r="AM3" s="703"/>
      <c r="AN3" s="703"/>
      <c r="AO3" s="703"/>
      <c r="AP3" s="704"/>
      <c r="AQ3" s="702" t="s">
        <v>245</v>
      </c>
      <c r="AR3" s="703"/>
      <c r="AS3" s="703"/>
      <c r="AT3" s="703"/>
      <c r="AU3" s="703"/>
      <c r="AV3" s="704"/>
      <c r="AW3" s="736"/>
      <c r="AX3" s="717" t="s">
        <v>477</v>
      </c>
      <c r="AY3" s="718"/>
      <c r="AZ3" s="718"/>
      <c r="BA3" s="718"/>
      <c r="BB3" s="719"/>
      <c r="BC3" s="708" t="s">
        <v>478</v>
      </c>
      <c r="BD3" s="709"/>
      <c r="BE3" s="709"/>
      <c r="BF3" s="709"/>
      <c r="BG3" s="710"/>
      <c r="BH3" s="702" t="s">
        <v>479</v>
      </c>
      <c r="BI3" s="703"/>
      <c r="BJ3" s="703"/>
      <c r="BK3" s="703"/>
      <c r="BL3" s="704"/>
      <c r="BM3" s="741"/>
      <c r="BN3" s="755"/>
      <c r="BO3" s="742"/>
      <c r="BP3" s="718" t="s">
        <v>484</v>
      </c>
      <c r="BQ3" s="718"/>
      <c r="BR3" s="718"/>
      <c r="BS3" s="718"/>
      <c r="BT3" s="718"/>
      <c r="BU3" s="708" t="s">
        <v>485</v>
      </c>
      <c r="BV3" s="709"/>
      <c r="BW3" s="709"/>
      <c r="BX3" s="709"/>
      <c r="BY3" s="709"/>
      <c r="BZ3" s="702" t="s">
        <v>499</v>
      </c>
      <c r="CA3" s="703"/>
      <c r="CB3" s="703"/>
      <c r="CC3" s="703"/>
      <c r="CD3" s="703"/>
      <c r="CE3" s="717" t="s">
        <v>486</v>
      </c>
      <c r="CF3" s="718"/>
      <c r="CG3" s="718"/>
      <c r="CH3" s="718"/>
      <c r="CI3" s="718"/>
      <c r="CJ3" s="718"/>
      <c r="CK3" s="718"/>
      <c r="CL3" s="718"/>
      <c r="CM3" s="718"/>
      <c r="CN3" s="718"/>
      <c r="CO3" s="708" t="s">
        <v>487</v>
      </c>
      <c r="CP3" s="709"/>
      <c r="CQ3" s="709"/>
      <c r="CR3" s="709"/>
      <c r="CS3" s="709"/>
      <c r="CT3" s="709"/>
      <c r="CU3" s="709"/>
      <c r="CV3" s="709"/>
      <c r="CW3" s="709"/>
      <c r="CX3" s="710"/>
      <c r="CY3" s="702" t="s">
        <v>495</v>
      </c>
      <c r="CZ3" s="703"/>
      <c r="DA3" s="703"/>
      <c r="DB3" s="703"/>
      <c r="DC3" s="703"/>
      <c r="DD3" s="703"/>
      <c r="DE3" s="703"/>
      <c r="DF3" s="703"/>
      <c r="DG3" s="703"/>
      <c r="DH3" s="703"/>
      <c r="DI3" s="717" t="s">
        <v>504</v>
      </c>
      <c r="DJ3" s="718"/>
      <c r="DK3" s="718"/>
      <c r="DL3" s="718"/>
      <c r="DM3" s="718"/>
      <c r="DN3" s="718"/>
      <c r="DO3" s="718"/>
      <c r="DP3" s="718"/>
      <c r="DQ3" s="718"/>
      <c r="DR3" s="718"/>
      <c r="DS3" s="708" t="s">
        <v>505</v>
      </c>
      <c r="DT3" s="709"/>
      <c r="DU3" s="709"/>
      <c r="DV3" s="709"/>
      <c r="DW3" s="709"/>
      <c r="DX3" s="709"/>
      <c r="DY3" s="709"/>
      <c r="DZ3" s="709"/>
      <c r="EA3" s="709"/>
      <c r="EB3" s="709"/>
      <c r="EC3" s="702" t="s">
        <v>506</v>
      </c>
      <c r="ED3" s="703"/>
      <c r="EE3" s="703"/>
      <c r="EF3" s="703"/>
      <c r="EG3" s="703"/>
      <c r="EH3" s="703"/>
      <c r="EI3" s="703"/>
      <c r="EJ3" s="703"/>
      <c r="EK3" s="703"/>
      <c r="EL3" s="703"/>
      <c r="EM3" s="717" t="s">
        <v>500</v>
      </c>
      <c r="EN3" s="718"/>
      <c r="EO3" s="718"/>
      <c r="EP3" s="718"/>
      <c r="EQ3" s="718"/>
      <c r="ER3" s="718"/>
      <c r="ES3" s="719"/>
      <c r="ET3" s="708" t="s">
        <v>501</v>
      </c>
      <c r="EU3" s="709"/>
      <c r="EV3" s="709"/>
      <c r="EW3" s="709"/>
      <c r="EX3" s="709"/>
      <c r="EY3" s="709"/>
      <c r="EZ3" s="710"/>
      <c r="FA3" s="702" t="s">
        <v>502</v>
      </c>
      <c r="FB3" s="703"/>
      <c r="FC3" s="703"/>
      <c r="FD3" s="703"/>
      <c r="FE3" s="703"/>
      <c r="FF3" s="703"/>
      <c r="FG3" s="704"/>
      <c r="FH3" s="741"/>
      <c r="FI3" s="742"/>
      <c r="FJ3" s="730" t="s">
        <v>508</v>
      </c>
      <c r="FK3" s="723"/>
      <c r="FL3" s="723"/>
      <c r="FM3" s="723"/>
      <c r="FN3" s="723"/>
      <c r="FO3" s="723"/>
      <c r="FP3" s="723"/>
      <c r="FQ3" s="723"/>
      <c r="FR3" s="723"/>
      <c r="FS3" s="723"/>
      <c r="FT3" s="729" t="s">
        <v>507</v>
      </c>
      <c r="FU3" s="720"/>
      <c r="FV3" s="720"/>
      <c r="FW3" s="720"/>
      <c r="FX3" s="720"/>
      <c r="FY3" s="720"/>
      <c r="FZ3" s="720"/>
      <c r="GA3" s="720"/>
      <c r="GB3" s="720"/>
      <c r="GC3" s="720"/>
      <c r="GD3" s="726" t="s">
        <v>509</v>
      </c>
      <c r="GE3" s="721"/>
      <c r="GF3" s="721"/>
      <c r="GG3" s="721"/>
      <c r="GH3" s="721"/>
      <c r="GI3" s="721"/>
      <c r="GJ3" s="721"/>
      <c r="GK3" s="721"/>
      <c r="GL3" s="721"/>
      <c r="GM3" s="721"/>
      <c r="GN3" s="717" t="s">
        <v>517</v>
      </c>
      <c r="GO3" s="718"/>
      <c r="GP3" s="718"/>
      <c r="GQ3" s="718"/>
      <c r="GR3" s="718"/>
      <c r="GS3" s="718"/>
      <c r="GT3" s="719"/>
      <c r="GU3" s="708" t="s">
        <v>518</v>
      </c>
      <c r="GV3" s="709"/>
      <c r="GW3" s="709"/>
      <c r="GX3" s="709"/>
      <c r="GY3" s="709"/>
      <c r="GZ3" s="709"/>
      <c r="HA3" s="710"/>
      <c r="HB3" s="702" t="s">
        <v>519</v>
      </c>
      <c r="HC3" s="703"/>
      <c r="HD3" s="703"/>
      <c r="HE3" s="703"/>
      <c r="HF3" s="703"/>
      <c r="HG3" s="703"/>
      <c r="HH3" s="704"/>
      <c r="HI3" s="717" t="s">
        <v>520</v>
      </c>
      <c r="HJ3" s="718"/>
      <c r="HK3" s="718"/>
      <c r="HL3" s="718"/>
      <c r="HM3" s="718"/>
      <c r="HN3" s="718"/>
      <c r="HO3" s="719"/>
      <c r="HP3" s="708" t="s">
        <v>521</v>
      </c>
      <c r="HQ3" s="709"/>
      <c r="HR3" s="709"/>
      <c r="HS3" s="709"/>
      <c r="HT3" s="709"/>
      <c r="HU3" s="709"/>
      <c r="HV3" s="710"/>
      <c r="HW3" s="702" t="s">
        <v>522</v>
      </c>
      <c r="HX3" s="703"/>
      <c r="HY3" s="703"/>
      <c r="HZ3" s="703"/>
      <c r="IA3" s="703"/>
      <c r="IB3" s="703"/>
      <c r="IC3" s="704"/>
      <c r="ID3" s="731" t="s">
        <v>523</v>
      </c>
      <c r="IE3" s="731"/>
      <c r="IF3" s="731"/>
      <c r="IG3" s="731"/>
      <c r="IH3" s="731"/>
      <c r="II3" s="731"/>
      <c r="IJ3" s="731"/>
      <c r="IK3" s="731"/>
      <c r="IL3" s="731"/>
      <c r="IM3" s="731"/>
      <c r="IN3" s="731"/>
      <c r="IO3" s="731"/>
      <c r="IP3" s="731"/>
      <c r="IQ3" s="731"/>
      <c r="IR3" s="731"/>
      <c r="IS3" s="731"/>
      <c r="IT3" s="731"/>
      <c r="IU3" s="731"/>
      <c r="IV3" s="731"/>
      <c r="IW3" s="731"/>
      <c r="IX3" s="731"/>
      <c r="IY3" s="731"/>
      <c r="IZ3" s="731"/>
      <c r="JA3" s="731"/>
      <c r="JB3" s="731"/>
      <c r="JC3" s="731"/>
      <c r="JD3" s="731"/>
      <c r="JE3" s="731"/>
      <c r="JF3" s="731"/>
      <c r="JG3" s="731"/>
      <c r="JH3" s="731"/>
      <c r="JI3" s="731"/>
      <c r="JJ3" s="731"/>
      <c r="JK3" s="731"/>
      <c r="JL3" s="731"/>
      <c r="JM3" s="731"/>
      <c r="JN3" s="731"/>
      <c r="JO3" s="731"/>
      <c r="JP3" s="731"/>
      <c r="JQ3" s="731"/>
      <c r="JR3" s="731"/>
      <c r="JS3" s="731"/>
      <c r="JT3" s="731"/>
      <c r="JU3" s="731"/>
      <c r="JV3" s="731"/>
      <c r="JW3" s="731"/>
      <c r="JX3" s="731"/>
      <c r="JY3" s="731"/>
      <c r="JZ3" s="731"/>
      <c r="KA3" s="731"/>
      <c r="KB3" s="731"/>
      <c r="KC3" s="731"/>
      <c r="KD3" s="731"/>
      <c r="KE3" s="731"/>
      <c r="KF3" s="731"/>
      <c r="KG3" s="731"/>
      <c r="KH3" s="731"/>
      <c r="KI3" s="731"/>
      <c r="KJ3" s="731"/>
      <c r="KK3" s="731"/>
      <c r="KL3" s="731"/>
      <c r="KM3" s="731"/>
      <c r="KN3" s="731"/>
      <c r="KO3" s="731"/>
      <c r="KP3" s="731"/>
      <c r="KQ3" s="731"/>
      <c r="KR3" s="731"/>
      <c r="KS3" s="731"/>
      <c r="KT3" s="731"/>
      <c r="KU3" s="731"/>
      <c r="KV3" s="731"/>
      <c r="KW3" s="731"/>
      <c r="KX3" s="731"/>
      <c r="KY3" s="731"/>
      <c r="KZ3" s="731"/>
      <c r="LA3" s="731"/>
      <c r="LB3" s="731"/>
      <c r="LC3" s="731"/>
      <c r="LD3" s="731"/>
      <c r="LE3" s="731"/>
      <c r="LF3" s="731"/>
      <c r="LG3" s="731"/>
      <c r="LH3" s="731"/>
      <c r="LI3" s="731"/>
      <c r="LJ3" s="731"/>
      <c r="LK3" s="731"/>
      <c r="LL3" s="731"/>
      <c r="LM3" s="731"/>
      <c r="LN3" s="731"/>
      <c r="LO3" s="731"/>
      <c r="LP3" s="731"/>
      <c r="LQ3" s="731"/>
      <c r="LR3" s="731"/>
      <c r="LS3" s="731"/>
      <c r="LT3" s="731"/>
      <c r="LU3" s="731"/>
      <c r="LV3" s="731"/>
      <c r="LW3" s="731"/>
      <c r="LX3" s="731"/>
      <c r="LY3" s="731"/>
      <c r="LZ3" s="731"/>
      <c r="MA3" s="731"/>
      <c r="MB3" s="731"/>
      <c r="MC3" s="731"/>
      <c r="MD3" s="731"/>
      <c r="ME3" s="731"/>
      <c r="MF3" s="731"/>
      <c r="MG3" s="731"/>
      <c r="MH3" s="731"/>
      <c r="MI3" s="731"/>
      <c r="MJ3" s="731"/>
      <c r="MK3" s="731"/>
      <c r="ML3" s="731"/>
      <c r="MM3" s="731"/>
      <c r="MN3" s="731"/>
      <c r="MO3" s="731"/>
      <c r="MP3" s="731"/>
      <c r="MQ3" s="731"/>
      <c r="MR3" s="731"/>
      <c r="MS3" s="731"/>
      <c r="MT3" s="731"/>
      <c r="MU3" s="731"/>
      <c r="MV3" s="731"/>
      <c r="MW3" s="731"/>
      <c r="MX3" s="731"/>
      <c r="MY3" s="731"/>
      <c r="MZ3" s="731"/>
      <c r="NA3" s="731"/>
      <c r="NB3" s="731"/>
      <c r="NC3" s="731"/>
      <c r="ND3" s="731"/>
      <c r="NE3" s="731"/>
      <c r="NF3" s="731"/>
      <c r="NG3" s="731"/>
      <c r="NH3" s="731"/>
      <c r="NI3" s="731"/>
      <c r="NJ3" s="722" t="s">
        <v>524</v>
      </c>
      <c r="NK3" s="722"/>
      <c r="NL3" s="722"/>
      <c r="NM3" s="722"/>
      <c r="NN3" s="722"/>
      <c r="NO3" s="722"/>
      <c r="NP3" s="722"/>
      <c r="NQ3" s="722"/>
      <c r="NR3" s="722"/>
      <c r="NS3" s="722"/>
      <c r="NT3" s="722"/>
      <c r="NU3" s="722"/>
      <c r="NV3" s="722"/>
      <c r="NW3" s="722"/>
      <c r="NX3" s="722"/>
      <c r="NY3" s="722"/>
      <c r="NZ3" s="722"/>
      <c r="OA3" s="722"/>
      <c r="OB3" s="722"/>
      <c r="OC3" s="722"/>
      <c r="OD3" s="722"/>
      <c r="OE3" s="722"/>
      <c r="OF3" s="722"/>
      <c r="OG3" s="722"/>
      <c r="OH3" s="722"/>
      <c r="OI3" s="722"/>
      <c r="OJ3" s="722"/>
      <c r="OK3" s="722"/>
      <c r="OL3" s="722"/>
      <c r="OM3" s="722"/>
      <c r="ON3" s="722"/>
      <c r="OO3" s="722"/>
      <c r="OP3" s="722"/>
      <c r="OQ3" s="722"/>
      <c r="OR3" s="722"/>
      <c r="OS3" s="722"/>
      <c r="OT3" s="722"/>
      <c r="OU3" s="722"/>
      <c r="OV3" s="722"/>
      <c r="OW3" s="722"/>
      <c r="OX3" s="722"/>
      <c r="OY3" s="722"/>
      <c r="OZ3" s="722"/>
      <c r="PA3" s="722"/>
      <c r="PB3" s="722"/>
      <c r="PC3" s="722"/>
      <c r="PD3" s="722"/>
      <c r="PE3" s="722"/>
      <c r="PF3" s="722"/>
      <c r="PG3" s="722"/>
      <c r="PH3" s="722"/>
      <c r="PI3" s="722"/>
      <c r="PJ3" s="722"/>
      <c r="PK3" s="722"/>
      <c r="PL3" s="722"/>
      <c r="PM3" s="722"/>
      <c r="PN3" s="722"/>
      <c r="PO3" s="722"/>
      <c r="PP3" s="722"/>
      <c r="PQ3" s="722"/>
      <c r="PR3" s="722"/>
      <c r="PS3" s="722"/>
      <c r="PT3" s="722"/>
      <c r="PU3" s="722"/>
      <c r="PV3" s="722"/>
      <c r="PW3" s="722"/>
      <c r="PX3" s="722"/>
      <c r="PY3" s="722"/>
      <c r="PZ3" s="722"/>
      <c r="QA3" s="722"/>
      <c r="QB3" s="722"/>
      <c r="QC3" s="722"/>
      <c r="QD3" s="722"/>
      <c r="QE3" s="722"/>
      <c r="QF3" s="722"/>
      <c r="QG3" s="722"/>
      <c r="QH3" s="722"/>
      <c r="QI3" s="722"/>
      <c r="QJ3" s="722"/>
      <c r="QK3" s="722"/>
      <c r="QL3" s="722"/>
      <c r="QM3" s="722"/>
      <c r="QN3" s="722"/>
      <c r="QO3" s="722"/>
      <c r="QP3" s="722"/>
      <c r="QQ3" s="722"/>
      <c r="QR3" s="722"/>
      <c r="QS3" s="722"/>
      <c r="QT3" s="722"/>
      <c r="QU3" s="722"/>
      <c r="QV3" s="722"/>
      <c r="QW3" s="722"/>
      <c r="QX3" s="722"/>
      <c r="QY3" s="722"/>
      <c r="QZ3" s="722"/>
      <c r="RA3" s="722"/>
      <c r="RB3" s="722"/>
      <c r="RC3" s="722"/>
      <c r="RD3" s="722"/>
      <c r="RE3" s="722"/>
      <c r="RF3" s="722"/>
      <c r="RG3" s="722"/>
      <c r="RH3" s="722"/>
      <c r="RI3" s="722"/>
      <c r="RJ3" s="722"/>
      <c r="RK3" s="722"/>
      <c r="RL3" s="722"/>
      <c r="RM3" s="722"/>
      <c r="RN3" s="722"/>
      <c r="RO3" s="722"/>
      <c r="RP3" s="722"/>
      <c r="RQ3" s="722"/>
      <c r="RR3" s="722"/>
      <c r="RS3" s="722"/>
      <c r="RT3" s="722"/>
      <c r="RU3" s="722"/>
      <c r="RV3" s="722"/>
      <c r="RW3" s="722"/>
      <c r="RX3" s="722"/>
      <c r="RY3" s="722"/>
      <c r="RZ3" s="722"/>
      <c r="SA3" s="722"/>
      <c r="SB3" s="722"/>
      <c r="SC3" s="722"/>
      <c r="SD3" s="722"/>
      <c r="SE3" s="722"/>
      <c r="SF3" s="722"/>
      <c r="SG3" s="722"/>
      <c r="SH3" s="722"/>
      <c r="SI3" s="722"/>
      <c r="SJ3" s="722"/>
      <c r="SK3" s="722"/>
      <c r="SL3" s="722"/>
      <c r="SM3" s="722"/>
      <c r="SN3" s="722"/>
      <c r="SO3" s="722"/>
      <c r="SP3" s="705" t="s">
        <v>525</v>
      </c>
      <c r="SQ3" s="706"/>
      <c r="SR3" s="706"/>
      <c r="SS3" s="706"/>
      <c r="ST3" s="706"/>
      <c r="SU3" s="706"/>
      <c r="SV3" s="706"/>
      <c r="SW3" s="706"/>
      <c r="SX3" s="706"/>
      <c r="SY3" s="706"/>
      <c r="SZ3" s="706"/>
      <c r="TA3" s="706"/>
      <c r="TB3" s="706"/>
      <c r="TC3" s="706"/>
      <c r="TD3" s="706"/>
      <c r="TE3" s="706"/>
      <c r="TF3" s="706"/>
      <c r="TG3" s="706"/>
      <c r="TH3" s="706"/>
      <c r="TI3" s="706"/>
      <c r="TJ3" s="706"/>
      <c r="TK3" s="706"/>
      <c r="TL3" s="706"/>
      <c r="TM3" s="706"/>
      <c r="TN3" s="706"/>
      <c r="TO3" s="706"/>
      <c r="TP3" s="706"/>
      <c r="TQ3" s="706"/>
      <c r="TR3" s="706"/>
      <c r="TS3" s="706"/>
      <c r="TT3" s="706"/>
      <c r="TU3" s="706"/>
      <c r="TV3" s="706"/>
      <c r="TW3" s="706"/>
      <c r="TX3" s="706"/>
      <c r="TY3" s="706"/>
      <c r="TZ3" s="706"/>
      <c r="UA3" s="706"/>
      <c r="UB3" s="706"/>
      <c r="UC3" s="706"/>
      <c r="UD3" s="706"/>
      <c r="UE3" s="706"/>
      <c r="UF3" s="706"/>
      <c r="UG3" s="706"/>
      <c r="UH3" s="706"/>
      <c r="UI3" s="706"/>
      <c r="UJ3" s="706"/>
      <c r="UK3" s="706"/>
      <c r="UL3" s="706"/>
      <c r="UM3" s="706"/>
      <c r="UN3" s="706"/>
      <c r="UO3" s="706"/>
      <c r="UP3" s="706"/>
      <c r="UQ3" s="706"/>
      <c r="UR3" s="706"/>
      <c r="US3" s="706"/>
      <c r="UT3" s="706"/>
      <c r="UU3" s="706"/>
      <c r="UV3" s="706"/>
      <c r="UW3" s="706"/>
      <c r="UX3" s="706"/>
      <c r="UY3" s="706"/>
      <c r="UZ3" s="706"/>
      <c r="VA3" s="706"/>
      <c r="VB3" s="706"/>
      <c r="VC3" s="706"/>
      <c r="VD3" s="706"/>
      <c r="VE3" s="706"/>
      <c r="VF3" s="706"/>
      <c r="VG3" s="706"/>
      <c r="VH3" s="706"/>
      <c r="VI3" s="706"/>
      <c r="VJ3" s="706"/>
      <c r="VK3" s="706"/>
      <c r="VL3" s="706"/>
      <c r="VM3" s="706"/>
      <c r="VN3" s="706"/>
      <c r="VO3" s="706"/>
      <c r="VP3" s="706"/>
      <c r="VQ3" s="706"/>
      <c r="VR3" s="706"/>
      <c r="VS3" s="706"/>
      <c r="VT3" s="706"/>
      <c r="VU3" s="706"/>
      <c r="VV3" s="706"/>
      <c r="VW3" s="706"/>
      <c r="VX3" s="706"/>
      <c r="VY3" s="706"/>
      <c r="VZ3" s="706"/>
      <c r="WA3" s="706"/>
      <c r="WB3" s="706"/>
      <c r="WC3" s="706"/>
      <c r="WD3" s="706"/>
      <c r="WE3" s="706"/>
      <c r="WF3" s="706"/>
      <c r="WG3" s="706"/>
      <c r="WH3" s="706"/>
      <c r="WI3" s="706"/>
      <c r="WJ3" s="706"/>
      <c r="WK3" s="706"/>
      <c r="WL3" s="706"/>
      <c r="WM3" s="706"/>
      <c r="WN3" s="706"/>
      <c r="WO3" s="706"/>
      <c r="WP3" s="706"/>
      <c r="WQ3" s="706"/>
      <c r="WR3" s="706"/>
      <c r="WS3" s="706"/>
      <c r="WT3" s="706"/>
      <c r="WU3" s="706"/>
      <c r="WV3" s="706"/>
      <c r="WW3" s="706"/>
      <c r="WX3" s="706"/>
      <c r="WY3" s="706"/>
      <c r="WZ3" s="706"/>
      <c r="XA3" s="706"/>
      <c r="XB3" s="706"/>
      <c r="XC3" s="706"/>
      <c r="XD3" s="706"/>
      <c r="XE3" s="706"/>
      <c r="XF3" s="706"/>
      <c r="XG3" s="706"/>
      <c r="XH3" s="706"/>
      <c r="XI3" s="706"/>
      <c r="XJ3" s="706"/>
      <c r="XK3" s="706"/>
      <c r="XL3" s="706"/>
      <c r="XM3" s="706"/>
      <c r="XN3" s="706"/>
      <c r="XO3" s="706"/>
      <c r="XP3" s="706"/>
      <c r="XQ3" s="706"/>
      <c r="XR3" s="706"/>
      <c r="XS3" s="706"/>
      <c r="XT3" s="706"/>
      <c r="XU3" s="706"/>
      <c r="XV3" s="707"/>
      <c r="XW3" s="717" t="s">
        <v>527</v>
      </c>
      <c r="XX3" s="718"/>
      <c r="XY3" s="718"/>
      <c r="XZ3" s="718"/>
      <c r="YA3" s="718"/>
      <c r="YB3" s="718"/>
      <c r="YC3" s="718"/>
      <c r="YD3" s="718"/>
      <c r="YE3" s="718"/>
      <c r="YF3" s="718"/>
      <c r="YG3" s="718"/>
      <c r="YH3" s="718"/>
      <c r="YI3" s="718"/>
      <c r="YJ3" s="718"/>
      <c r="YK3" s="718"/>
      <c r="YL3" s="718"/>
      <c r="YM3" s="718"/>
      <c r="YN3" s="718"/>
      <c r="YO3" s="718"/>
      <c r="YP3" s="718"/>
      <c r="YQ3" s="718"/>
      <c r="YR3" s="718"/>
      <c r="YS3" s="718"/>
      <c r="YT3" s="718"/>
      <c r="YU3" s="718"/>
      <c r="YV3" s="718"/>
      <c r="YW3" s="718"/>
      <c r="YX3" s="719"/>
      <c r="YY3" s="708" t="s">
        <v>534</v>
      </c>
      <c r="YZ3" s="709"/>
      <c r="ZA3" s="709"/>
      <c r="ZB3" s="709"/>
      <c r="ZC3" s="709"/>
      <c r="ZD3" s="709"/>
      <c r="ZE3" s="709"/>
      <c r="ZF3" s="709"/>
      <c r="ZG3" s="709"/>
      <c r="ZH3" s="709"/>
      <c r="ZI3" s="709"/>
      <c r="ZJ3" s="709"/>
      <c r="ZK3" s="709"/>
      <c r="ZL3" s="709"/>
      <c r="ZM3" s="709"/>
      <c r="ZN3" s="709"/>
      <c r="ZO3" s="709"/>
      <c r="ZP3" s="709"/>
      <c r="ZQ3" s="709"/>
      <c r="ZR3" s="709"/>
      <c r="ZS3" s="709"/>
      <c r="ZT3" s="709"/>
      <c r="ZU3" s="709"/>
      <c r="ZV3" s="709"/>
      <c r="ZW3" s="709"/>
      <c r="ZX3" s="709"/>
      <c r="ZY3" s="709"/>
      <c r="ZZ3" s="710"/>
      <c r="AAA3" s="702" t="s">
        <v>535</v>
      </c>
      <c r="AAB3" s="703"/>
      <c r="AAC3" s="703"/>
      <c r="AAD3" s="703"/>
      <c r="AAE3" s="703"/>
      <c r="AAF3" s="703"/>
      <c r="AAG3" s="703"/>
      <c r="AAH3" s="703"/>
      <c r="AAI3" s="703"/>
      <c r="AAJ3" s="703"/>
      <c r="AAK3" s="703"/>
      <c r="AAL3" s="703"/>
      <c r="AAM3" s="703"/>
      <c r="AAN3" s="703"/>
      <c r="AAO3" s="703"/>
      <c r="AAP3" s="703"/>
      <c r="AAQ3" s="703"/>
      <c r="AAR3" s="703"/>
      <c r="AAS3" s="703"/>
      <c r="AAT3" s="703"/>
      <c r="AAU3" s="703"/>
      <c r="AAV3" s="703"/>
      <c r="AAW3" s="703"/>
      <c r="AAX3" s="703"/>
      <c r="AAY3" s="703"/>
      <c r="AAZ3" s="703"/>
      <c r="ABA3" s="703"/>
      <c r="ABB3" s="704"/>
    </row>
    <row r="4" spans="1:730">
      <c r="A4" s="746"/>
      <c r="B4" s="747"/>
      <c r="C4" s="747"/>
      <c r="D4" s="747"/>
      <c r="E4" s="747"/>
      <c r="F4" s="748"/>
      <c r="G4" s="732"/>
      <c r="H4" s="733"/>
      <c r="I4" s="733"/>
      <c r="J4" s="733"/>
      <c r="K4" s="733"/>
      <c r="L4" s="730"/>
      <c r="M4" s="732"/>
      <c r="N4" s="733"/>
      <c r="O4" s="733"/>
      <c r="P4" s="733"/>
      <c r="Q4" s="733"/>
      <c r="R4" s="730"/>
      <c r="S4" s="727"/>
      <c r="T4" s="728"/>
      <c r="U4" s="728"/>
      <c r="V4" s="728"/>
      <c r="W4" s="728"/>
      <c r="X4" s="729"/>
      <c r="Y4" s="727"/>
      <c r="Z4" s="728"/>
      <c r="AA4" s="728"/>
      <c r="AB4" s="728"/>
      <c r="AC4" s="728"/>
      <c r="AD4" s="729"/>
      <c r="AE4" s="724"/>
      <c r="AF4" s="725"/>
      <c r="AG4" s="725"/>
      <c r="AH4" s="725"/>
      <c r="AI4" s="725"/>
      <c r="AJ4" s="726"/>
      <c r="AK4" s="724"/>
      <c r="AL4" s="725"/>
      <c r="AM4" s="725"/>
      <c r="AN4" s="725"/>
      <c r="AO4" s="725"/>
      <c r="AP4" s="726"/>
      <c r="AQ4" s="724"/>
      <c r="AR4" s="725"/>
      <c r="AS4" s="725"/>
      <c r="AT4" s="725"/>
      <c r="AU4" s="725"/>
      <c r="AV4" s="726"/>
      <c r="AW4" s="736"/>
      <c r="AX4" s="732"/>
      <c r="AY4" s="733"/>
      <c r="AZ4" s="733"/>
      <c r="BA4" s="733"/>
      <c r="BB4" s="730"/>
      <c r="BC4" s="727"/>
      <c r="BD4" s="728"/>
      <c r="BE4" s="728"/>
      <c r="BF4" s="728"/>
      <c r="BG4" s="729"/>
      <c r="BH4" s="724"/>
      <c r="BI4" s="725"/>
      <c r="BJ4" s="725"/>
      <c r="BK4" s="725"/>
      <c r="BL4" s="726"/>
      <c r="BM4" s="724"/>
      <c r="BN4" s="725"/>
      <c r="BO4" s="726"/>
      <c r="BP4" s="733"/>
      <c r="BQ4" s="733"/>
      <c r="BR4" s="733"/>
      <c r="BS4" s="733"/>
      <c r="BT4" s="733"/>
      <c r="BU4" s="727"/>
      <c r="BV4" s="728"/>
      <c r="BW4" s="728"/>
      <c r="BX4" s="728"/>
      <c r="BY4" s="728"/>
      <c r="BZ4" s="724"/>
      <c r="CA4" s="725"/>
      <c r="CB4" s="725"/>
      <c r="CC4" s="725"/>
      <c r="CD4" s="725"/>
      <c r="CE4" s="732"/>
      <c r="CF4" s="733"/>
      <c r="CG4" s="733"/>
      <c r="CH4" s="733"/>
      <c r="CI4" s="733"/>
      <c r="CJ4" s="733"/>
      <c r="CK4" s="733"/>
      <c r="CL4" s="733"/>
      <c r="CM4" s="733"/>
      <c r="CN4" s="733"/>
      <c r="CO4" s="727"/>
      <c r="CP4" s="728"/>
      <c r="CQ4" s="728"/>
      <c r="CR4" s="728"/>
      <c r="CS4" s="728"/>
      <c r="CT4" s="728"/>
      <c r="CU4" s="728"/>
      <c r="CV4" s="728"/>
      <c r="CW4" s="728"/>
      <c r="CX4" s="729"/>
      <c r="CY4" s="724"/>
      <c r="CZ4" s="725"/>
      <c r="DA4" s="725"/>
      <c r="DB4" s="725"/>
      <c r="DC4" s="725"/>
      <c r="DD4" s="725"/>
      <c r="DE4" s="725"/>
      <c r="DF4" s="725"/>
      <c r="DG4" s="725"/>
      <c r="DH4" s="725"/>
      <c r="DI4" s="732"/>
      <c r="DJ4" s="733"/>
      <c r="DK4" s="733"/>
      <c r="DL4" s="733"/>
      <c r="DM4" s="733"/>
      <c r="DN4" s="733"/>
      <c r="DO4" s="733"/>
      <c r="DP4" s="733"/>
      <c r="DQ4" s="733"/>
      <c r="DR4" s="733"/>
      <c r="DS4" s="727"/>
      <c r="DT4" s="728"/>
      <c r="DU4" s="728"/>
      <c r="DV4" s="728"/>
      <c r="DW4" s="728"/>
      <c r="DX4" s="728"/>
      <c r="DY4" s="728"/>
      <c r="DZ4" s="728"/>
      <c r="EA4" s="728"/>
      <c r="EB4" s="728"/>
      <c r="EC4" s="724"/>
      <c r="ED4" s="725"/>
      <c r="EE4" s="725"/>
      <c r="EF4" s="725"/>
      <c r="EG4" s="725"/>
      <c r="EH4" s="725"/>
      <c r="EI4" s="725"/>
      <c r="EJ4" s="725"/>
      <c r="EK4" s="725"/>
      <c r="EL4" s="725"/>
      <c r="EM4" s="732"/>
      <c r="EN4" s="733"/>
      <c r="EO4" s="733"/>
      <c r="EP4" s="733"/>
      <c r="EQ4" s="733"/>
      <c r="ER4" s="733"/>
      <c r="ES4" s="730"/>
      <c r="ET4" s="727"/>
      <c r="EU4" s="728"/>
      <c r="EV4" s="728"/>
      <c r="EW4" s="728"/>
      <c r="EX4" s="728"/>
      <c r="EY4" s="728"/>
      <c r="EZ4" s="729"/>
      <c r="FA4" s="724"/>
      <c r="FB4" s="725"/>
      <c r="FC4" s="725"/>
      <c r="FD4" s="725"/>
      <c r="FE4" s="725"/>
      <c r="FF4" s="725"/>
      <c r="FG4" s="726"/>
      <c r="FH4" s="724"/>
      <c r="FI4" s="726"/>
      <c r="FJ4" s="716"/>
      <c r="FK4" s="731"/>
      <c r="FL4" s="731"/>
      <c r="FM4" s="731"/>
      <c r="FN4" s="731"/>
      <c r="FO4" s="731"/>
      <c r="FP4" s="731"/>
      <c r="FQ4" s="731"/>
      <c r="FR4" s="731"/>
      <c r="FS4" s="731"/>
      <c r="FT4" s="713"/>
      <c r="FU4" s="722"/>
      <c r="FV4" s="722"/>
      <c r="FW4" s="722"/>
      <c r="FX4" s="722"/>
      <c r="FY4" s="722"/>
      <c r="FZ4" s="722"/>
      <c r="GA4" s="722"/>
      <c r="GB4" s="722"/>
      <c r="GC4" s="722"/>
      <c r="GD4" s="707"/>
      <c r="GE4" s="734"/>
      <c r="GF4" s="734"/>
      <c r="GG4" s="734"/>
      <c r="GH4" s="734"/>
      <c r="GI4" s="734"/>
      <c r="GJ4" s="734"/>
      <c r="GK4" s="734"/>
      <c r="GL4" s="734"/>
      <c r="GM4" s="734"/>
      <c r="GN4" s="732"/>
      <c r="GO4" s="733"/>
      <c r="GP4" s="733"/>
      <c r="GQ4" s="733"/>
      <c r="GR4" s="733"/>
      <c r="GS4" s="733"/>
      <c r="GT4" s="730"/>
      <c r="GU4" s="727"/>
      <c r="GV4" s="728"/>
      <c r="GW4" s="728"/>
      <c r="GX4" s="728"/>
      <c r="GY4" s="728"/>
      <c r="GZ4" s="728"/>
      <c r="HA4" s="729"/>
      <c r="HB4" s="724"/>
      <c r="HC4" s="725"/>
      <c r="HD4" s="725"/>
      <c r="HE4" s="725"/>
      <c r="HF4" s="725"/>
      <c r="HG4" s="725"/>
      <c r="HH4" s="726"/>
      <c r="HI4" s="732"/>
      <c r="HJ4" s="733"/>
      <c r="HK4" s="733"/>
      <c r="HL4" s="733"/>
      <c r="HM4" s="733"/>
      <c r="HN4" s="733"/>
      <c r="HO4" s="730"/>
      <c r="HP4" s="727"/>
      <c r="HQ4" s="728"/>
      <c r="HR4" s="728"/>
      <c r="HS4" s="728"/>
      <c r="HT4" s="728"/>
      <c r="HU4" s="728"/>
      <c r="HV4" s="729"/>
      <c r="HW4" s="724"/>
      <c r="HX4" s="725"/>
      <c r="HY4" s="725"/>
      <c r="HZ4" s="725"/>
      <c r="IA4" s="725"/>
      <c r="IB4" s="725"/>
      <c r="IC4" s="726"/>
      <c r="ID4" s="723" t="s">
        <v>204</v>
      </c>
      <c r="IE4" s="723"/>
      <c r="IF4" s="723"/>
      <c r="IG4" s="723"/>
      <c r="IH4" s="723"/>
      <c r="II4" s="723"/>
      <c r="IJ4" s="723"/>
      <c r="IK4" s="723"/>
      <c r="IL4" s="723" t="s">
        <v>205</v>
      </c>
      <c r="IM4" s="723"/>
      <c r="IN4" s="723"/>
      <c r="IO4" s="723"/>
      <c r="IP4" s="723"/>
      <c r="IQ4" s="723"/>
      <c r="IR4" s="723"/>
      <c r="IS4" s="723"/>
      <c r="IT4" s="723" t="s">
        <v>224</v>
      </c>
      <c r="IU4" s="723"/>
      <c r="IV4" s="723"/>
      <c r="IW4" s="723"/>
      <c r="IX4" s="723"/>
      <c r="IY4" s="723"/>
      <c r="IZ4" s="723"/>
      <c r="JA4" s="723"/>
      <c r="JB4" s="723" t="s">
        <v>225</v>
      </c>
      <c r="JC4" s="723"/>
      <c r="JD4" s="723"/>
      <c r="JE4" s="723"/>
      <c r="JF4" s="723"/>
      <c r="JG4" s="723"/>
      <c r="JH4" s="723"/>
      <c r="JI4" s="723"/>
      <c r="JJ4" s="723" t="s">
        <v>226</v>
      </c>
      <c r="JK4" s="723"/>
      <c r="JL4" s="723"/>
      <c r="JM4" s="723"/>
      <c r="JN4" s="723"/>
      <c r="JO4" s="723"/>
      <c r="JP4" s="723"/>
      <c r="JQ4" s="723"/>
      <c r="JR4" s="723" t="s">
        <v>216</v>
      </c>
      <c r="JS4" s="723"/>
      <c r="JT4" s="723"/>
      <c r="JU4" s="723"/>
      <c r="JV4" s="723"/>
      <c r="JW4" s="723"/>
      <c r="JX4" s="723"/>
      <c r="JY4" s="723"/>
      <c r="JZ4" s="723" t="s">
        <v>227</v>
      </c>
      <c r="KA4" s="723"/>
      <c r="KB4" s="723"/>
      <c r="KC4" s="723"/>
      <c r="KD4" s="723"/>
      <c r="KE4" s="723"/>
      <c r="KF4" s="723"/>
      <c r="KG4" s="723"/>
      <c r="KH4" s="723" t="s">
        <v>198</v>
      </c>
      <c r="KI4" s="723"/>
      <c r="KJ4" s="723"/>
      <c r="KK4" s="723"/>
      <c r="KL4" s="723"/>
      <c r="KM4" s="723"/>
      <c r="KN4" s="723"/>
      <c r="KO4" s="723"/>
      <c r="KP4" s="723" t="s">
        <v>199</v>
      </c>
      <c r="KQ4" s="723"/>
      <c r="KR4" s="723"/>
      <c r="KS4" s="723"/>
      <c r="KT4" s="723"/>
      <c r="KU4" s="723"/>
      <c r="KV4" s="723"/>
      <c r="KW4" s="723"/>
      <c r="KX4" s="723" t="s">
        <v>228</v>
      </c>
      <c r="KY4" s="723"/>
      <c r="KZ4" s="723"/>
      <c r="LA4" s="723"/>
      <c r="LB4" s="723"/>
      <c r="LC4" s="723"/>
      <c r="LD4" s="723"/>
      <c r="LE4" s="723"/>
      <c r="LF4" s="723" t="s">
        <v>200</v>
      </c>
      <c r="LG4" s="723"/>
      <c r="LH4" s="723"/>
      <c r="LI4" s="723"/>
      <c r="LJ4" s="723"/>
      <c r="LK4" s="723"/>
      <c r="LL4" s="723"/>
      <c r="LM4" s="723"/>
      <c r="LN4" s="723" t="s">
        <v>229</v>
      </c>
      <c r="LO4" s="723"/>
      <c r="LP4" s="723"/>
      <c r="LQ4" s="723"/>
      <c r="LR4" s="723"/>
      <c r="LS4" s="723"/>
      <c r="LT4" s="723"/>
      <c r="LU4" s="723"/>
      <c r="LV4" s="723" t="s">
        <v>206</v>
      </c>
      <c r="LW4" s="723"/>
      <c r="LX4" s="723"/>
      <c r="LY4" s="723"/>
      <c r="LZ4" s="723"/>
      <c r="MA4" s="723"/>
      <c r="MB4" s="723"/>
      <c r="MC4" s="723"/>
      <c r="MD4" s="723" t="s">
        <v>277</v>
      </c>
      <c r="ME4" s="723"/>
      <c r="MF4" s="723"/>
      <c r="MG4" s="723"/>
      <c r="MH4" s="723"/>
      <c r="MI4" s="723"/>
      <c r="MJ4" s="723"/>
      <c r="MK4" s="723"/>
      <c r="ML4" s="723" t="s">
        <v>278</v>
      </c>
      <c r="MM4" s="723"/>
      <c r="MN4" s="723"/>
      <c r="MO4" s="723"/>
      <c r="MP4" s="723"/>
      <c r="MQ4" s="723"/>
      <c r="MR4" s="723"/>
      <c r="MS4" s="723"/>
      <c r="MT4" s="714" t="s">
        <v>207</v>
      </c>
      <c r="MU4" s="715"/>
      <c r="MV4" s="715"/>
      <c r="MW4" s="715"/>
      <c r="MX4" s="715"/>
      <c r="MY4" s="715"/>
      <c r="MZ4" s="715"/>
      <c r="NA4" s="715"/>
      <c r="NB4" s="714" t="s">
        <v>157</v>
      </c>
      <c r="NC4" s="715"/>
      <c r="ND4" s="715"/>
      <c r="NE4" s="715"/>
      <c r="NF4" s="715"/>
      <c r="NG4" s="715"/>
      <c r="NH4" s="715"/>
      <c r="NI4" s="715"/>
      <c r="NJ4" s="720" t="s">
        <v>204</v>
      </c>
      <c r="NK4" s="720"/>
      <c r="NL4" s="720"/>
      <c r="NM4" s="720"/>
      <c r="NN4" s="720"/>
      <c r="NO4" s="720"/>
      <c r="NP4" s="720"/>
      <c r="NQ4" s="720"/>
      <c r="NR4" s="720" t="s">
        <v>205</v>
      </c>
      <c r="NS4" s="720"/>
      <c r="NT4" s="720"/>
      <c r="NU4" s="720"/>
      <c r="NV4" s="720"/>
      <c r="NW4" s="720"/>
      <c r="NX4" s="720"/>
      <c r="NY4" s="720"/>
      <c r="NZ4" s="720" t="s">
        <v>224</v>
      </c>
      <c r="OA4" s="720"/>
      <c r="OB4" s="720"/>
      <c r="OC4" s="720"/>
      <c r="OD4" s="720"/>
      <c r="OE4" s="720"/>
      <c r="OF4" s="720"/>
      <c r="OG4" s="720"/>
      <c r="OH4" s="720" t="s">
        <v>225</v>
      </c>
      <c r="OI4" s="720"/>
      <c r="OJ4" s="720"/>
      <c r="OK4" s="720"/>
      <c r="OL4" s="720"/>
      <c r="OM4" s="720"/>
      <c r="ON4" s="720"/>
      <c r="OO4" s="720"/>
      <c r="OP4" s="720" t="s">
        <v>226</v>
      </c>
      <c r="OQ4" s="720"/>
      <c r="OR4" s="720"/>
      <c r="OS4" s="720"/>
      <c r="OT4" s="720"/>
      <c r="OU4" s="720"/>
      <c r="OV4" s="720"/>
      <c r="OW4" s="720"/>
      <c r="OX4" s="720" t="s">
        <v>216</v>
      </c>
      <c r="OY4" s="720"/>
      <c r="OZ4" s="720"/>
      <c r="PA4" s="720"/>
      <c r="PB4" s="720"/>
      <c r="PC4" s="720"/>
      <c r="PD4" s="720"/>
      <c r="PE4" s="720"/>
      <c r="PF4" s="720" t="s">
        <v>227</v>
      </c>
      <c r="PG4" s="720"/>
      <c r="PH4" s="720"/>
      <c r="PI4" s="720"/>
      <c r="PJ4" s="720"/>
      <c r="PK4" s="720"/>
      <c r="PL4" s="720"/>
      <c r="PM4" s="720"/>
      <c r="PN4" s="720" t="s">
        <v>198</v>
      </c>
      <c r="PO4" s="720"/>
      <c r="PP4" s="720"/>
      <c r="PQ4" s="720"/>
      <c r="PR4" s="720"/>
      <c r="PS4" s="720"/>
      <c r="PT4" s="720"/>
      <c r="PU4" s="720"/>
      <c r="PV4" s="720" t="s">
        <v>199</v>
      </c>
      <c r="PW4" s="720"/>
      <c r="PX4" s="720"/>
      <c r="PY4" s="720"/>
      <c r="PZ4" s="720"/>
      <c r="QA4" s="720"/>
      <c r="QB4" s="720"/>
      <c r="QC4" s="720"/>
      <c r="QD4" s="720" t="s">
        <v>228</v>
      </c>
      <c r="QE4" s="720"/>
      <c r="QF4" s="720"/>
      <c r="QG4" s="720"/>
      <c r="QH4" s="720"/>
      <c r="QI4" s="720"/>
      <c r="QJ4" s="720"/>
      <c r="QK4" s="720"/>
      <c r="QL4" s="720" t="s">
        <v>200</v>
      </c>
      <c r="QM4" s="720"/>
      <c r="QN4" s="720"/>
      <c r="QO4" s="720"/>
      <c r="QP4" s="720"/>
      <c r="QQ4" s="720"/>
      <c r="QR4" s="720"/>
      <c r="QS4" s="720"/>
      <c r="QT4" s="720" t="s">
        <v>229</v>
      </c>
      <c r="QU4" s="720"/>
      <c r="QV4" s="720"/>
      <c r="QW4" s="720"/>
      <c r="QX4" s="720"/>
      <c r="QY4" s="720"/>
      <c r="QZ4" s="720"/>
      <c r="RA4" s="720"/>
      <c r="RB4" s="720" t="s">
        <v>206</v>
      </c>
      <c r="RC4" s="720"/>
      <c r="RD4" s="720"/>
      <c r="RE4" s="720"/>
      <c r="RF4" s="720"/>
      <c r="RG4" s="720"/>
      <c r="RH4" s="720"/>
      <c r="RI4" s="720"/>
      <c r="RJ4" s="720" t="s">
        <v>277</v>
      </c>
      <c r="RK4" s="720"/>
      <c r="RL4" s="720"/>
      <c r="RM4" s="720"/>
      <c r="RN4" s="720"/>
      <c r="RO4" s="720"/>
      <c r="RP4" s="720"/>
      <c r="RQ4" s="720"/>
      <c r="RR4" s="720" t="s">
        <v>278</v>
      </c>
      <c r="RS4" s="720"/>
      <c r="RT4" s="720"/>
      <c r="RU4" s="720"/>
      <c r="RV4" s="720"/>
      <c r="RW4" s="720"/>
      <c r="RX4" s="720"/>
      <c r="RY4" s="720"/>
      <c r="RZ4" s="711" t="s">
        <v>207</v>
      </c>
      <c r="SA4" s="712"/>
      <c r="SB4" s="712"/>
      <c r="SC4" s="712"/>
      <c r="SD4" s="712"/>
      <c r="SE4" s="712"/>
      <c r="SF4" s="712"/>
      <c r="SG4" s="712"/>
      <c r="SH4" s="711" t="s">
        <v>157</v>
      </c>
      <c r="SI4" s="712"/>
      <c r="SJ4" s="712"/>
      <c r="SK4" s="712"/>
      <c r="SL4" s="712"/>
      <c r="SM4" s="712"/>
      <c r="SN4" s="712"/>
      <c r="SO4" s="712"/>
      <c r="SP4" s="721" t="s">
        <v>204</v>
      </c>
      <c r="SQ4" s="721"/>
      <c r="SR4" s="721"/>
      <c r="SS4" s="721"/>
      <c r="ST4" s="721"/>
      <c r="SU4" s="721"/>
      <c r="SV4" s="721"/>
      <c r="SW4" s="721"/>
      <c r="SX4" s="721" t="s">
        <v>205</v>
      </c>
      <c r="SY4" s="721"/>
      <c r="SZ4" s="721"/>
      <c r="TA4" s="721"/>
      <c r="TB4" s="721"/>
      <c r="TC4" s="721"/>
      <c r="TD4" s="721"/>
      <c r="TE4" s="721"/>
      <c r="TF4" s="721" t="s">
        <v>224</v>
      </c>
      <c r="TG4" s="721"/>
      <c r="TH4" s="721"/>
      <c r="TI4" s="721"/>
      <c r="TJ4" s="721"/>
      <c r="TK4" s="721"/>
      <c r="TL4" s="721"/>
      <c r="TM4" s="721"/>
      <c r="TN4" s="721" t="s">
        <v>225</v>
      </c>
      <c r="TO4" s="721"/>
      <c r="TP4" s="721"/>
      <c r="TQ4" s="721"/>
      <c r="TR4" s="721"/>
      <c r="TS4" s="721"/>
      <c r="TT4" s="721"/>
      <c r="TU4" s="721"/>
      <c r="TV4" s="721" t="s">
        <v>226</v>
      </c>
      <c r="TW4" s="721"/>
      <c r="TX4" s="721"/>
      <c r="TY4" s="721"/>
      <c r="TZ4" s="721"/>
      <c r="UA4" s="721"/>
      <c r="UB4" s="721"/>
      <c r="UC4" s="721"/>
      <c r="UD4" s="721" t="s">
        <v>216</v>
      </c>
      <c r="UE4" s="721"/>
      <c r="UF4" s="721"/>
      <c r="UG4" s="721"/>
      <c r="UH4" s="721"/>
      <c r="UI4" s="721"/>
      <c r="UJ4" s="721"/>
      <c r="UK4" s="721"/>
      <c r="UL4" s="721" t="s">
        <v>227</v>
      </c>
      <c r="UM4" s="721"/>
      <c r="UN4" s="721"/>
      <c r="UO4" s="721"/>
      <c r="UP4" s="721"/>
      <c r="UQ4" s="721"/>
      <c r="UR4" s="721"/>
      <c r="US4" s="721"/>
      <c r="UT4" s="721" t="s">
        <v>198</v>
      </c>
      <c r="UU4" s="721"/>
      <c r="UV4" s="721"/>
      <c r="UW4" s="721"/>
      <c r="UX4" s="721"/>
      <c r="UY4" s="721"/>
      <c r="UZ4" s="721"/>
      <c r="VA4" s="721"/>
      <c r="VB4" s="721" t="s">
        <v>199</v>
      </c>
      <c r="VC4" s="721"/>
      <c r="VD4" s="721"/>
      <c r="VE4" s="721"/>
      <c r="VF4" s="721"/>
      <c r="VG4" s="721"/>
      <c r="VH4" s="721"/>
      <c r="VI4" s="721"/>
      <c r="VJ4" s="721" t="s">
        <v>228</v>
      </c>
      <c r="VK4" s="721"/>
      <c r="VL4" s="721"/>
      <c r="VM4" s="721"/>
      <c r="VN4" s="721"/>
      <c r="VO4" s="721"/>
      <c r="VP4" s="721"/>
      <c r="VQ4" s="721"/>
      <c r="VR4" s="721" t="s">
        <v>200</v>
      </c>
      <c r="VS4" s="721"/>
      <c r="VT4" s="721"/>
      <c r="VU4" s="721"/>
      <c r="VV4" s="721"/>
      <c r="VW4" s="721"/>
      <c r="VX4" s="721"/>
      <c r="VY4" s="721"/>
      <c r="VZ4" s="721" t="s">
        <v>229</v>
      </c>
      <c r="WA4" s="721"/>
      <c r="WB4" s="721"/>
      <c r="WC4" s="721"/>
      <c r="WD4" s="721"/>
      <c r="WE4" s="721"/>
      <c r="WF4" s="721"/>
      <c r="WG4" s="721"/>
      <c r="WH4" s="721" t="s">
        <v>206</v>
      </c>
      <c r="WI4" s="721"/>
      <c r="WJ4" s="721"/>
      <c r="WK4" s="721"/>
      <c r="WL4" s="721"/>
      <c r="WM4" s="721"/>
      <c r="WN4" s="721"/>
      <c r="WO4" s="721"/>
      <c r="WP4" s="721" t="s">
        <v>277</v>
      </c>
      <c r="WQ4" s="721"/>
      <c r="WR4" s="721"/>
      <c r="WS4" s="721"/>
      <c r="WT4" s="721"/>
      <c r="WU4" s="721"/>
      <c r="WV4" s="721"/>
      <c r="WW4" s="721"/>
      <c r="WX4" s="721" t="s">
        <v>278</v>
      </c>
      <c r="WY4" s="721"/>
      <c r="WZ4" s="721"/>
      <c r="XA4" s="721"/>
      <c r="XB4" s="721"/>
      <c r="XC4" s="721"/>
      <c r="XD4" s="721"/>
      <c r="XE4" s="721"/>
      <c r="XF4" s="705" t="s">
        <v>207</v>
      </c>
      <c r="XG4" s="706"/>
      <c r="XH4" s="706"/>
      <c r="XI4" s="706"/>
      <c r="XJ4" s="706"/>
      <c r="XK4" s="706"/>
      <c r="XL4" s="706"/>
      <c r="XM4" s="706"/>
      <c r="XN4" s="705" t="s">
        <v>157</v>
      </c>
      <c r="XO4" s="706"/>
      <c r="XP4" s="706"/>
      <c r="XQ4" s="706"/>
      <c r="XR4" s="706"/>
      <c r="XS4" s="706"/>
      <c r="XT4" s="706"/>
      <c r="XU4" s="706"/>
      <c r="XV4" s="707"/>
      <c r="XW4" s="714" t="s">
        <v>4</v>
      </c>
      <c r="XX4" s="715"/>
      <c r="XY4" s="715"/>
      <c r="XZ4" s="715"/>
      <c r="YA4" s="715"/>
      <c r="YB4" s="715"/>
      <c r="YC4" s="715"/>
      <c r="YD4" s="715"/>
      <c r="YE4" s="715"/>
      <c r="YF4" s="716"/>
      <c r="YG4" s="714" t="s">
        <v>5</v>
      </c>
      <c r="YH4" s="715"/>
      <c r="YI4" s="715"/>
      <c r="YJ4" s="715"/>
      <c r="YK4" s="715"/>
      <c r="YL4" s="715"/>
      <c r="YM4" s="714" t="s">
        <v>6</v>
      </c>
      <c r="YN4" s="715"/>
      <c r="YO4" s="715"/>
      <c r="YP4" s="715"/>
      <c r="YQ4" s="715"/>
      <c r="YR4" s="715"/>
      <c r="YS4" s="715"/>
      <c r="YT4" s="715"/>
      <c r="YU4" s="715"/>
      <c r="YV4" s="716"/>
      <c r="YW4" s="714" t="s">
        <v>526</v>
      </c>
      <c r="YX4" s="716"/>
      <c r="YY4" s="711" t="s">
        <v>4</v>
      </c>
      <c r="YZ4" s="712"/>
      <c r="ZA4" s="712"/>
      <c r="ZB4" s="712"/>
      <c r="ZC4" s="712"/>
      <c r="ZD4" s="712"/>
      <c r="ZE4" s="712"/>
      <c r="ZF4" s="712"/>
      <c r="ZG4" s="712"/>
      <c r="ZH4" s="713"/>
      <c r="ZI4" s="711" t="s">
        <v>5</v>
      </c>
      <c r="ZJ4" s="712"/>
      <c r="ZK4" s="712"/>
      <c r="ZL4" s="712"/>
      <c r="ZM4" s="712"/>
      <c r="ZN4" s="712"/>
      <c r="ZO4" s="711" t="s">
        <v>6</v>
      </c>
      <c r="ZP4" s="712"/>
      <c r="ZQ4" s="712"/>
      <c r="ZR4" s="712"/>
      <c r="ZS4" s="712"/>
      <c r="ZT4" s="712"/>
      <c r="ZU4" s="712"/>
      <c r="ZV4" s="712"/>
      <c r="ZW4" s="712"/>
      <c r="ZX4" s="713"/>
      <c r="ZY4" s="711" t="s">
        <v>526</v>
      </c>
      <c r="ZZ4" s="713"/>
      <c r="AAA4" s="705" t="s">
        <v>4</v>
      </c>
      <c r="AAB4" s="706"/>
      <c r="AAC4" s="706"/>
      <c r="AAD4" s="706"/>
      <c r="AAE4" s="706"/>
      <c r="AAF4" s="706"/>
      <c r="AAG4" s="706"/>
      <c r="AAH4" s="706"/>
      <c r="AAI4" s="706"/>
      <c r="AAJ4" s="707"/>
      <c r="AAK4" s="705" t="s">
        <v>5</v>
      </c>
      <c r="AAL4" s="706"/>
      <c r="AAM4" s="706"/>
      <c r="AAN4" s="706"/>
      <c r="AAO4" s="706"/>
      <c r="AAP4" s="706"/>
      <c r="AAQ4" s="705" t="s">
        <v>6</v>
      </c>
      <c r="AAR4" s="706"/>
      <c r="AAS4" s="706"/>
      <c r="AAT4" s="706"/>
      <c r="AAU4" s="706"/>
      <c r="AAV4" s="706"/>
      <c r="AAW4" s="706"/>
      <c r="AAX4" s="706"/>
      <c r="AAY4" s="706"/>
      <c r="AAZ4" s="707"/>
      <c r="ABA4" s="705" t="s">
        <v>526</v>
      </c>
      <c r="ABB4" s="707"/>
    </row>
    <row r="5" spans="1:730" s="28" customFormat="1" ht="72">
      <c r="A5" s="29" t="s">
        <v>562</v>
      </c>
      <c r="B5" s="125" t="s">
        <v>235</v>
      </c>
      <c r="C5" s="29" t="s">
        <v>236</v>
      </c>
      <c r="D5" s="29" t="s">
        <v>210</v>
      </c>
      <c r="E5" s="29" t="s">
        <v>211</v>
      </c>
      <c r="F5" s="29" t="s">
        <v>212</v>
      </c>
      <c r="G5" s="40" t="s">
        <v>4</v>
      </c>
      <c r="H5" s="40" t="s">
        <v>5</v>
      </c>
      <c r="I5" s="40" t="s">
        <v>6</v>
      </c>
      <c r="J5" s="102" t="s">
        <v>7</v>
      </c>
      <c r="K5" s="92" t="s">
        <v>30</v>
      </c>
      <c r="L5" s="103" t="s">
        <v>102</v>
      </c>
      <c r="M5" s="40" t="s">
        <v>4</v>
      </c>
      <c r="N5" s="40" t="s">
        <v>5</v>
      </c>
      <c r="O5" s="40" t="s">
        <v>6</v>
      </c>
      <c r="P5" s="89" t="s">
        <v>7</v>
      </c>
      <c r="Q5" s="92" t="s">
        <v>30</v>
      </c>
      <c r="R5" s="40" t="s">
        <v>8</v>
      </c>
      <c r="S5" s="279" t="s">
        <v>4</v>
      </c>
      <c r="T5" s="279" t="s">
        <v>5</v>
      </c>
      <c r="U5" s="279" t="s">
        <v>6</v>
      </c>
      <c r="V5" s="282" t="s">
        <v>7</v>
      </c>
      <c r="W5" s="283" t="s">
        <v>30</v>
      </c>
      <c r="X5" s="279" t="s">
        <v>102</v>
      </c>
      <c r="Y5" s="279" t="s">
        <v>4</v>
      </c>
      <c r="Z5" s="279" t="s">
        <v>5</v>
      </c>
      <c r="AA5" s="279" t="s">
        <v>6</v>
      </c>
      <c r="AB5" s="282" t="s">
        <v>7</v>
      </c>
      <c r="AC5" s="283" t="s">
        <v>30</v>
      </c>
      <c r="AD5" s="279" t="s">
        <v>102</v>
      </c>
      <c r="AE5" s="38" t="s">
        <v>4</v>
      </c>
      <c r="AF5" s="38" t="s">
        <v>5</v>
      </c>
      <c r="AG5" s="38" t="s">
        <v>6</v>
      </c>
      <c r="AH5" s="93" t="s">
        <v>7</v>
      </c>
      <c r="AI5" s="94" t="s">
        <v>30</v>
      </c>
      <c r="AJ5" s="38" t="s">
        <v>102</v>
      </c>
      <c r="AK5" s="38" t="s">
        <v>4</v>
      </c>
      <c r="AL5" s="38" t="s">
        <v>5</v>
      </c>
      <c r="AM5" s="38" t="s">
        <v>6</v>
      </c>
      <c r="AN5" s="93" t="s">
        <v>7</v>
      </c>
      <c r="AO5" s="94" t="s">
        <v>30</v>
      </c>
      <c r="AP5" s="38" t="s">
        <v>102</v>
      </c>
      <c r="AQ5" s="38" t="s">
        <v>246</v>
      </c>
      <c r="AR5" s="38" t="s">
        <v>247</v>
      </c>
      <c r="AS5" s="38" t="s">
        <v>248</v>
      </c>
      <c r="AT5" s="38" t="s">
        <v>249</v>
      </c>
      <c r="AU5" s="93" t="s">
        <v>250</v>
      </c>
      <c r="AV5" s="94" t="s">
        <v>251</v>
      </c>
      <c r="AW5" s="737"/>
      <c r="AX5" s="82" t="s">
        <v>4</v>
      </c>
      <c r="AY5" s="82" t="s">
        <v>5</v>
      </c>
      <c r="AZ5" s="82" t="s">
        <v>6</v>
      </c>
      <c r="BA5" s="98" t="s">
        <v>7</v>
      </c>
      <c r="BB5" s="255" t="s">
        <v>30</v>
      </c>
      <c r="BC5" s="279" t="s">
        <v>4</v>
      </c>
      <c r="BD5" s="279" t="s">
        <v>5</v>
      </c>
      <c r="BE5" s="279" t="s">
        <v>6</v>
      </c>
      <c r="BF5" s="280" t="s">
        <v>7</v>
      </c>
      <c r="BG5" s="281" t="s">
        <v>30</v>
      </c>
      <c r="BH5" s="38" t="s">
        <v>4</v>
      </c>
      <c r="BI5" s="38" t="s">
        <v>5</v>
      </c>
      <c r="BJ5" s="38" t="s">
        <v>6</v>
      </c>
      <c r="BK5" s="286" t="s">
        <v>7</v>
      </c>
      <c r="BL5" s="287" t="s">
        <v>30</v>
      </c>
      <c r="BM5" s="38" t="s">
        <v>481</v>
      </c>
      <c r="BN5" s="38" t="s">
        <v>482</v>
      </c>
      <c r="BO5" s="38" t="s">
        <v>483</v>
      </c>
      <c r="BP5" s="42" t="s">
        <v>4</v>
      </c>
      <c r="BQ5" s="42" t="s">
        <v>5</v>
      </c>
      <c r="BR5" s="42" t="s">
        <v>6</v>
      </c>
      <c r="BS5" s="42" t="s">
        <v>7</v>
      </c>
      <c r="BT5" s="288" t="s">
        <v>30</v>
      </c>
      <c r="BU5" s="289" t="s">
        <v>4</v>
      </c>
      <c r="BV5" s="289" t="s">
        <v>5</v>
      </c>
      <c r="BW5" s="289" t="s">
        <v>6</v>
      </c>
      <c r="BX5" s="289" t="s">
        <v>7</v>
      </c>
      <c r="BY5" s="290" t="s">
        <v>30</v>
      </c>
      <c r="BZ5" s="41" t="s">
        <v>4</v>
      </c>
      <c r="CA5" s="41" t="s">
        <v>5</v>
      </c>
      <c r="CB5" s="41" t="s">
        <v>6</v>
      </c>
      <c r="CC5" s="41" t="s">
        <v>7</v>
      </c>
      <c r="CD5" s="95" t="s">
        <v>30</v>
      </c>
      <c r="CE5" s="42" t="s">
        <v>4</v>
      </c>
      <c r="CF5" s="291" t="s">
        <v>208</v>
      </c>
      <c r="CG5" s="42" t="s">
        <v>5</v>
      </c>
      <c r="CH5" s="291" t="s">
        <v>208</v>
      </c>
      <c r="CI5" s="42" t="s">
        <v>6</v>
      </c>
      <c r="CJ5" s="291" t="s">
        <v>208</v>
      </c>
      <c r="CK5" s="42" t="s">
        <v>7</v>
      </c>
      <c r="CL5" s="291" t="s">
        <v>208</v>
      </c>
      <c r="CM5" s="288" t="s">
        <v>30</v>
      </c>
      <c r="CN5" s="291" t="s">
        <v>208</v>
      </c>
      <c r="CO5" s="289" t="s">
        <v>4</v>
      </c>
      <c r="CP5" s="292" t="s">
        <v>208</v>
      </c>
      <c r="CQ5" s="289" t="s">
        <v>5</v>
      </c>
      <c r="CR5" s="292" t="s">
        <v>208</v>
      </c>
      <c r="CS5" s="289" t="s">
        <v>6</v>
      </c>
      <c r="CT5" s="292" t="s">
        <v>208</v>
      </c>
      <c r="CU5" s="289" t="s">
        <v>7</v>
      </c>
      <c r="CV5" s="292" t="s">
        <v>208</v>
      </c>
      <c r="CW5" s="290" t="s">
        <v>30</v>
      </c>
      <c r="CX5" s="292" t="s">
        <v>208</v>
      </c>
      <c r="CY5" s="41" t="s">
        <v>4</v>
      </c>
      <c r="CZ5" s="100" t="s">
        <v>208</v>
      </c>
      <c r="DA5" s="41" t="s">
        <v>5</v>
      </c>
      <c r="DB5" s="100" t="s">
        <v>208</v>
      </c>
      <c r="DC5" s="41" t="s">
        <v>6</v>
      </c>
      <c r="DD5" s="100" t="s">
        <v>208</v>
      </c>
      <c r="DE5" s="41" t="s">
        <v>7</v>
      </c>
      <c r="DF5" s="100" t="s">
        <v>208</v>
      </c>
      <c r="DG5" s="95" t="s">
        <v>30</v>
      </c>
      <c r="DH5" s="100" t="s">
        <v>208</v>
      </c>
      <c r="DI5" s="42" t="s">
        <v>4</v>
      </c>
      <c r="DJ5" s="96" t="s">
        <v>208</v>
      </c>
      <c r="DK5" s="42" t="s">
        <v>5</v>
      </c>
      <c r="DL5" s="96" t="s">
        <v>208</v>
      </c>
      <c r="DM5" s="42" t="s">
        <v>6</v>
      </c>
      <c r="DN5" s="96" t="s">
        <v>208</v>
      </c>
      <c r="DO5" s="42" t="s">
        <v>7</v>
      </c>
      <c r="DP5" s="97" t="s">
        <v>208</v>
      </c>
      <c r="DQ5" s="96" t="s">
        <v>30</v>
      </c>
      <c r="DR5" s="276" t="s">
        <v>208</v>
      </c>
      <c r="DS5" s="289" t="s">
        <v>4</v>
      </c>
      <c r="DT5" s="298" t="s">
        <v>208</v>
      </c>
      <c r="DU5" s="289" t="s">
        <v>5</v>
      </c>
      <c r="DV5" s="298" t="s">
        <v>208</v>
      </c>
      <c r="DW5" s="289" t="s">
        <v>6</v>
      </c>
      <c r="DX5" s="298" t="s">
        <v>208</v>
      </c>
      <c r="DY5" s="289" t="s">
        <v>7</v>
      </c>
      <c r="DZ5" s="299" t="s">
        <v>208</v>
      </c>
      <c r="EA5" s="298" t="s">
        <v>30</v>
      </c>
      <c r="EB5" s="293" t="s">
        <v>208</v>
      </c>
      <c r="EC5" s="41" t="s">
        <v>4</v>
      </c>
      <c r="ED5" s="296" t="s">
        <v>208</v>
      </c>
      <c r="EE5" s="41" t="s">
        <v>5</v>
      </c>
      <c r="EF5" s="296" t="s">
        <v>208</v>
      </c>
      <c r="EG5" s="41" t="s">
        <v>6</v>
      </c>
      <c r="EH5" s="296" t="s">
        <v>208</v>
      </c>
      <c r="EI5" s="41" t="s">
        <v>7</v>
      </c>
      <c r="EJ5" s="297" t="s">
        <v>208</v>
      </c>
      <c r="EK5" s="296" t="s">
        <v>30</v>
      </c>
      <c r="EL5" s="294" t="s">
        <v>208</v>
      </c>
      <c r="EM5" s="275" t="s">
        <v>201</v>
      </c>
      <c r="EN5" s="82" t="s">
        <v>191</v>
      </c>
      <c r="EO5" s="82" t="s">
        <v>192</v>
      </c>
      <c r="EP5" s="82" t="s">
        <v>193</v>
      </c>
      <c r="EQ5" s="82" t="s">
        <v>194</v>
      </c>
      <c r="ER5" s="275" t="s">
        <v>195</v>
      </c>
      <c r="ES5" s="92" t="s">
        <v>232</v>
      </c>
      <c r="ET5" s="282" t="s">
        <v>201</v>
      </c>
      <c r="EU5" s="279" t="s">
        <v>33</v>
      </c>
      <c r="EV5" s="279" t="s">
        <v>34</v>
      </c>
      <c r="EW5" s="279" t="s">
        <v>35</v>
      </c>
      <c r="EX5" s="279" t="s">
        <v>36</v>
      </c>
      <c r="EY5" s="282" t="s">
        <v>37</v>
      </c>
      <c r="EZ5" s="283" t="s">
        <v>30</v>
      </c>
      <c r="FA5" s="93" t="s">
        <v>201</v>
      </c>
      <c r="FB5" s="38" t="s">
        <v>33</v>
      </c>
      <c r="FC5" s="38" t="s">
        <v>34</v>
      </c>
      <c r="FD5" s="38" t="s">
        <v>35</v>
      </c>
      <c r="FE5" s="38" t="s">
        <v>36</v>
      </c>
      <c r="FF5" s="93" t="s">
        <v>37</v>
      </c>
      <c r="FG5" s="94" t="s">
        <v>30</v>
      </c>
      <c r="FH5" s="38" t="s">
        <v>512</v>
      </c>
      <c r="FI5" s="38" t="s">
        <v>513</v>
      </c>
      <c r="FJ5" s="96" t="s">
        <v>4</v>
      </c>
      <c r="FK5" s="284" t="s">
        <v>92</v>
      </c>
      <c r="FL5" s="42" t="s">
        <v>5</v>
      </c>
      <c r="FM5" s="284" t="s">
        <v>92</v>
      </c>
      <c r="FN5" s="42" t="s">
        <v>6</v>
      </c>
      <c r="FO5" s="284" t="s">
        <v>92</v>
      </c>
      <c r="FP5" s="42" t="s">
        <v>7</v>
      </c>
      <c r="FQ5" s="97" t="s">
        <v>92</v>
      </c>
      <c r="FR5" s="96" t="s">
        <v>30</v>
      </c>
      <c r="FS5" s="284" t="s">
        <v>92</v>
      </c>
      <c r="FT5" s="298" t="s">
        <v>4</v>
      </c>
      <c r="FU5" s="281" t="s">
        <v>92</v>
      </c>
      <c r="FV5" s="289" t="s">
        <v>5</v>
      </c>
      <c r="FW5" s="281" t="s">
        <v>92</v>
      </c>
      <c r="FX5" s="289" t="s">
        <v>6</v>
      </c>
      <c r="FY5" s="281" t="s">
        <v>92</v>
      </c>
      <c r="FZ5" s="289" t="s">
        <v>7</v>
      </c>
      <c r="GA5" s="299" t="s">
        <v>92</v>
      </c>
      <c r="GB5" s="298" t="s">
        <v>30</v>
      </c>
      <c r="GC5" s="281" t="s">
        <v>92</v>
      </c>
      <c r="GD5" s="296" t="s">
        <v>4</v>
      </c>
      <c r="GE5" s="287" t="s">
        <v>92</v>
      </c>
      <c r="GF5" s="41" t="s">
        <v>5</v>
      </c>
      <c r="GG5" s="287" t="s">
        <v>92</v>
      </c>
      <c r="GH5" s="41" t="s">
        <v>6</v>
      </c>
      <c r="GI5" s="287" t="s">
        <v>92</v>
      </c>
      <c r="GJ5" s="41" t="s">
        <v>7</v>
      </c>
      <c r="GK5" s="297" t="s">
        <v>92</v>
      </c>
      <c r="GL5" s="296" t="s">
        <v>30</v>
      </c>
      <c r="GM5" s="287" t="s">
        <v>92</v>
      </c>
      <c r="GN5" s="40" t="s">
        <v>95</v>
      </c>
      <c r="GO5" s="40" t="s">
        <v>96</v>
      </c>
      <c r="GP5" s="40" t="s">
        <v>97</v>
      </c>
      <c r="GQ5" s="40" t="s">
        <v>98</v>
      </c>
      <c r="GR5" s="40" t="s">
        <v>12</v>
      </c>
      <c r="GS5" s="102" t="s">
        <v>99</v>
      </c>
      <c r="GT5" s="92" t="s">
        <v>232</v>
      </c>
      <c r="GU5" s="279" t="s">
        <v>95</v>
      </c>
      <c r="GV5" s="279" t="s">
        <v>96</v>
      </c>
      <c r="GW5" s="279" t="s">
        <v>97</v>
      </c>
      <c r="GX5" s="279" t="s">
        <v>98</v>
      </c>
      <c r="GY5" s="279" t="s">
        <v>12</v>
      </c>
      <c r="GZ5" s="282" t="s">
        <v>99</v>
      </c>
      <c r="HA5" s="283" t="s">
        <v>30</v>
      </c>
      <c r="HB5" s="38" t="s">
        <v>95</v>
      </c>
      <c r="HC5" s="38" t="s">
        <v>96</v>
      </c>
      <c r="HD5" s="38" t="s">
        <v>97</v>
      </c>
      <c r="HE5" s="38" t="s">
        <v>98</v>
      </c>
      <c r="HF5" s="38" t="s">
        <v>12</v>
      </c>
      <c r="HG5" s="93" t="s">
        <v>99</v>
      </c>
      <c r="HH5" s="94" t="s">
        <v>30</v>
      </c>
      <c r="HI5" s="40" t="s">
        <v>203</v>
      </c>
      <c r="HJ5" s="40" t="s">
        <v>33</v>
      </c>
      <c r="HK5" s="40" t="s">
        <v>34</v>
      </c>
      <c r="HL5" s="40" t="s">
        <v>35</v>
      </c>
      <c r="HM5" s="40" t="s">
        <v>36</v>
      </c>
      <c r="HN5" s="40" t="s">
        <v>37</v>
      </c>
      <c r="HO5" s="92" t="s">
        <v>232</v>
      </c>
      <c r="HP5" s="279" t="s">
        <v>201</v>
      </c>
      <c r="HQ5" s="279" t="s">
        <v>33</v>
      </c>
      <c r="HR5" s="279" t="s">
        <v>34</v>
      </c>
      <c r="HS5" s="279" t="s">
        <v>35</v>
      </c>
      <c r="HT5" s="279" t="s">
        <v>36</v>
      </c>
      <c r="HU5" s="279" t="s">
        <v>37</v>
      </c>
      <c r="HV5" s="283" t="s">
        <v>30</v>
      </c>
      <c r="HW5" s="38" t="s">
        <v>201</v>
      </c>
      <c r="HX5" s="38" t="s">
        <v>33</v>
      </c>
      <c r="HY5" s="38" t="s">
        <v>34</v>
      </c>
      <c r="HZ5" s="38" t="s">
        <v>35</v>
      </c>
      <c r="IA5" s="38" t="s">
        <v>36</v>
      </c>
      <c r="IB5" s="38" t="s">
        <v>37</v>
      </c>
      <c r="IC5" s="94" t="s">
        <v>30</v>
      </c>
      <c r="ID5" s="82" t="s">
        <v>203</v>
      </c>
      <c r="IE5" s="40" t="s">
        <v>191</v>
      </c>
      <c r="IF5" s="40" t="s">
        <v>192</v>
      </c>
      <c r="IG5" s="40" t="s">
        <v>193</v>
      </c>
      <c r="IH5" s="40" t="s">
        <v>194</v>
      </c>
      <c r="II5" s="40" t="s">
        <v>195</v>
      </c>
      <c r="IJ5" s="89" t="s">
        <v>196</v>
      </c>
      <c r="IK5" s="92" t="s">
        <v>197</v>
      </c>
      <c r="IL5" s="82" t="s">
        <v>203</v>
      </c>
      <c r="IM5" s="82" t="s">
        <v>191</v>
      </c>
      <c r="IN5" s="82" t="s">
        <v>192</v>
      </c>
      <c r="IO5" s="82" t="s">
        <v>193</v>
      </c>
      <c r="IP5" s="82" t="s">
        <v>194</v>
      </c>
      <c r="IQ5" s="82" t="s">
        <v>195</v>
      </c>
      <c r="IR5" s="89" t="s">
        <v>196</v>
      </c>
      <c r="IS5" s="92" t="s">
        <v>197</v>
      </c>
      <c r="IT5" s="82" t="s">
        <v>203</v>
      </c>
      <c r="IU5" s="82" t="s">
        <v>191</v>
      </c>
      <c r="IV5" s="82" t="s">
        <v>192</v>
      </c>
      <c r="IW5" s="82" t="s">
        <v>193</v>
      </c>
      <c r="IX5" s="82" t="s">
        <v>194</v>
      </c>
      <c r="IY5" s="82" t="s">
        <v>195</v>
      </c>
      <c r="IZ5" s="89" t="s">
        <v>196</v>
      </c>
      <c r="JA5" s="92" t="s">
        <v>197</v>
      </c>
      <c r="JB5" s="82" t="s">
        <v>203</v>
      </c>
      <c r="JC5" s="82" t="s">
        <v>191</v>
      </c>
      <c r="JD5" s="82" t="s">
        <v>192</v>
      </c>
      <c r="JE5" s="82" t="s">
        <v>193</v>
      </c>
      <c r="JF5" s="82" t="s">
        <v>194</v>
      </c>
      <c r="JG5" s="82" t="s">
        <v>195</v>
      </c>
      <c r="JH5" s="89" t="s">
        <v>196</v>
      </c>
      <c r="JI5" s="92" t="s">
        <v>197</v>
      </c>
      <c r="JJ5" s="82" t="s">
        <v>203</v>
      </c>
      <c r="JK5" s="82" t="s">
        <v>191</v>
      </c>
      <c r="JL5" s="82" t="s">
        <v>192</v>
      </c>
      <c r="JM5" s="82" t="s">
        <v>193</v>
      </c>
      <c r="JN5" s="82" t="s">
        <v>194</v>
      </c>
      <c r="JO5" s="82" t="s">
        <v>195</v>
      </c>
      <c r="JP5" s="89" t="s">
        <v>196</v>
      </c>
      <c r="JQ5" s="92" t="s">
        <v>197</v>
      </c>
      <c r="JR5" s="82" t="s">
        <v>203</v>
      </c>
      <c r="JS5" s="82" t="s">
        <v>191</v>
      </c>
      <c r="JT5" s="82" t="s">
        <v>192</v>
      </c>
      <c r="JU5" s="82" t="s">
        <v>193</v>
      </c>
      <c r="JV5" s="82" t="s">
        <v>194</v>
      </c>
      <c r="JW5" s="82" t="s">
        <v>195</v>
      </c>
      <c r="JX5" s="89" t="s">
        <v>196</v>
      </c>
      <c r="JY5" s="92" t="s">
        <v>197</v>
      </c>
      <c r="JZ5" s="82" t="s">
        <v>203</v>
      </c>
      <c r="KA5" s="82" t="s">
        <v>191</v>
      </c>
      <c r="KB5" s="82" t="s">
        <v>192</v>
      </c>
      <c r="KC5" s="82" t="s">
        <v>193</v>
      </c>
      <c r="KD5" s="82" t="s">
        <v>194</v>
      </c>
      <c r="KE5" s="82" t="s">
        <v>195</v>
      </c>
      <c r="KF5" s="89" t="s">
        <v>196</v>
      </c>
      <c r="KG5" s="92" t="s">
        <v>197</v>
      </c>
      <c r="KH5" s="82" t="s">
        <v>203</v>
      </c>
      <c r="KI5" s="82" t="s">
        <v>191</v>
      </c>
      <c r="KJ5" s="82" t="s">
        <v>192</v>
      </c>
      <c r="KK5" s="82" t="s">
        <v>193</v>
      </c>
      <c r="KL5" s="82" t="s">
        <v>194</v>
      </c>
      <c r="KM5" s="82" t="s">
        <v>195</v>
      </c>
      <c r="KN5" s="89" t="s">
        <v>196</v>
      </c>
      <c r="KO5" s="92" t="s">
        <v>197</v>
      </c>
      <c r="KP5" s="82" t="s">
        <v>203</v>
      </c>
      <c r="KQ5" s="82" t="s">
        <v>191</v>
      </c>
      <c r="KR5" s="82" t="s">
        <v>192</v>
      </c>
      <c r="KS5" s="82" t="s">
        <v>193</v>
      </c>
      <c r="KT5" s="82" t="s">
        <v>194</v>
      </c>
      <c r="KU5" s="82" t="s">
        <v>195</v>
      </c>
      <c r="KV5" s="98" t="s">
        <v>196</v>
      </c>
      <c r="KW5" s="90" t="s">
        <v>197</v>
      </c>
      <c r="KX5" s="82" t="s">
        <v>203</v>
      </c>
      <c r="KY5" s="82" t="s">
        <v>191</v>
      </c>
      <c r="KZ5" s="82" t="s">
        <v>192</v>
      </c>
      <c r="LA5" s="82" t="s">
        <v>193</v>
      </c>
      <c r="LB5" s="82" t="s">
        <v>194</v>
      </c>
      <c r="LC5" s="82" t="s">
        <v>195</v>
      </c>
      <c r="LD5" s="89" t="s">
        <v>196</v>
      </c>
      <c r="LE5" s="92" t="s">
        <v>197</v>
      </c>
      <c r="LF5" s="82" t="s">
        <v>203</v>
      </c>
      <c r="LG5" s="82" t="s">
        <v>191</v>
      </c>
      <c r="LH5" s="82" t="s">
        <v>192</v>
      </c>
      <c r="LI5" s="82" t="s">
        <v>193</v>
      </c>
      <c r="LJ5" s="82" t="s">
        <v>194</v>
      </c>
      <c r="LK5" s="82" t="s">
        <v>195</v>
      </c>
      <c r="LL5" s="89" t="s">
        <v>196</v>
      </c>
      <c r="LM5" s="92" t="s">
        <v>197</v>
      </c>
      <c r="LN5" s="82" t="s">
        <v>203</v>
      </c>
      <c r="LO5" s="82" t="s">
        <v>191</v>
      </c>
      <c r="LP5" s="82" t="s">
        <v>192</v>
      </c>
      <c r="LQ5" s="82" t="s">
        <v>193</v>
      </c>
      <c r="LR5" s="82" t="s">
        <v>194</v>
      </c>
      <c r="LS5" s="82" t="s">
        <v>195</v>
      </c>
      <c r="LT5" s="89" t="s">
        <v>196</v>
      </c>
      <c r="LU5" s="92" t="s">
        <v>197</v>
      </c>
      <c r="LV5" s="82" t="s">
        <v>203</v>
      </c>
      <c r="LW5" s="82" t="s">
        <v>191</v>
      </c>
      <c r="LX5" s="82" t="s">
        <v>192</v>
      </c>
      <c r="LY5" s="82" t="s">
        <v>193</v>
      </c>
      <c r="LZ5" s="82" t="s">
        <v>194</v>
      </c>
      <c r="MA5" s="82" t="s">
        <v>195</v>
      </c>
      <c r="MB5" s="89" t="s">
        <v>196</v>
      </c>
      <c r="MC5" s="92" t="s">
        <v>197</v>
      </c>
      <c r="MD5" s="82" t="s">
        <v>201</v>
      </c>
      <c r="ME5" s="82" t="s">
        <v>191</v>
      </c>
      <c r="MF5" s="82" t="s">
        <v>192</v>
      </c>
      <c r="MG5" s="82" t="s">
        <v>193</v>
      </c>
      <c r="MH5" s="82" t="s">
        <v>194</v>
      </c>
      <c r="MI5" s="82" t="s">
        <v>195</v>
      </c>
      <c r="MJ5" s="89" t="s">
        <v>196</v>
      </c>
      <c r="MK5" s="92" t="s">
        <v>197</v>
      </c>
      <c r="ML5" s="82" t="s">
        <v>201</v>
      </c>
      <c r="MM5" s="82" t="s">
        <v>33</v>
      </c>
      <c r="MN5" s="82" t="s">
        <v>34</v>
      </c>
      <c r="MO5" s="82" t="s">
        <v>35</v>
      </c>
      <c r="MP5" s="82" t="s">
        <v>36</v>
      </c>
      <c r="MQ5" s="82" t="s">
        <v>37</v>
      </c>
      <c r="MR5" s="133" t="s">
        <v>196</v>
      </c>
      <c r="MS5" s="92" t="s">
        <v>30</v>
      </c>
      <c r="MT5" s="82" t="s">
        <v>201</v>
      </c>
      <c r="MU5" s="82" t="s">
        <v>33</v>
      </c>
      <c r="MV5" s="82" t="s">
        <v>34</v>
      </c>
      <c r="MW5" s="82" t="s">
        <v>35</v>
      </c>
      <c r="MX5" s="82" t="s">
        <v>36</v>
      </c>
      <c r="MY5" s="82" t="s">
        <v>37</v>
      </c>
      <c r="MZ5" s="99" t="s">
        <v>196</v>
      </c>
      <c r="NA5" s="92" t="s">
        <v>30</v>
      </c>
      <c r="NB5" s="82" t="s">
        <v>201</v>
      </c>
      <c r="NC5" s="82" t="s">
        <v>33</v>
      </c>
      <c r="ND5" s="82" t="s">
        <v>34</v>
      </c>
      <c r="NE5" s="82" t="s">
        <v>35</v>
      </c>
      <c r="NF5" s="82" t="s">
        <v>36</v>
      </c>
      <c r="NG5" s="82" t="s">
        <v>37</v>
      </c>
      <c r="NH5" s="99" t="s">
        <v>196</v>
      </c>
      <c r="NI5" s="92" t="s">
        <v>30</v>
      </c>
      <c r="NJ5" s="279" t="s">
        <v>201</v>
      </c>
      <c r="NK5" s="279" t="s">
        <v>33</v>
      </c>
      <c r="NL5" s="279" t="s">
        <v>34</v>
      </c>
      <c r="NM5" s="279" t="s">
        <v>35</v>
      </c>
      <c r="NN5" s="279" t="s">
        <v>36</v>
      </c>
      <c r="NO5" s="279" t="s">
        <v>37</v>
      </c>
      <c r="NP5" s="282" t="s">
        <v>196</v>
      </c>
      <c r="NQ5" s="283" t="s">
        <v>30</v>
      </c>
      <c r="NR5" s="279" t="s">
        <v>201</v>
      </c>
      <c r="NS5" s="279" t="s">
        <v>33</v>
      </c>
      <c r="NT5" s="279" t="s">
        <v>34</v>
      </c>
      <c r="NU5" s="279" t="s">
        <v>35</v>
      </c>
      <c r="NV5" s="279" t="s">
        <v>36</v>
      </c>
      <c r="NW5" s="279" t="s">
        <v>37</v>
      </c>
      <c r="NX5" s="282" t="s">
        <v>196</v>
      </c>
      <c r="NY5" s="283" t="s">
        <v>30</v>
      </c>
      <c r="NZ5" s="279" t="s">
        <v>201</v>
      </c>
      <c r="OA5" s="279" t="s">
        <v>33</v>
      </c>
      <c r="OB5" s="279" t="s">
        <v>34</v>
      </c>
      <c r="OC5" s="279" t="s">
        <v>35</v>
      </c>
      <c r="OD5" s="279" t="s">
        <v>36</v>
      </c>
      <c r="OE5" s="279" t="s">
        <v>37</v>
      </c>
      <c r="OF5" s="282" t="s">
        <v>196</v>
      </c>
      <c r="OG5" s="283" t="s">
        <v>30</v>
      </c>
      <c r="OH5" s="279" t="s">
        <v>201</v>
      </c>
      <c r="OI5" s="279" t="s">
        <v>33</v>
      </c>
      <c r="OJ5" s="279" t="s">
        <v>34</v>
      </c>
      <c r="OK5" s="279" t="s">
        <v>35</v>
      </c>
      <c r="OL5" s="279" t="s">
        <v>36</v>
      </c>
      <c r="OM5" s="279" t="s">
        <v>37</v>
      </c>
      <c r="ON5" s="282" t="s">
        <v>196</v>
      </c>
      <c r="OO5" s="283" t="s">
        <v>30</v>
      </c>
      <c r="OP5" s="279" t="s">
        <v>201</v>
      </c>
      <c r="OQ5" s="279" t="s">
        <v>33</v>
      </c>
      <c r="OR5" s="279" t="s">
        <v>34</v>
      </c>
      <c r="OS5" s="279" t="s">
        <v>35</v>
      </c>
      <c r="OT5" s="279" t="s">
        <v>36</v>
      </c>
      <c r="OU5" s="279" t="s">
        <v>37</v>
      </c>
      <c r="OV5" s="282" t="s">
        <v>196</v>
      </c>
      <c r="OW5" s="283" t="s">
        <v>30</v>
      </c>
      <c r="OX5" s="279" t="s">
        <v>201</v>
      </c>
      <c r="OY5" s="279" t="s">
        <v>33</v>
      </c>
      <c r="OZ5" s="279" t="s">
        <v>34</v>
      </c>
      <c r="PA5" s="279" t="s">
        <v>35</v>
      </c>
      <c r="PB5" s="279" t="s">
        <v>36</v>
      </c>
      <c r="PC5" s="279" t="s">
        <v>37</v>
      </c>
      <c r="PD5" s="282" t="s">
        <v>196</v>
      </c>
      <c r="PE5" s="283" t="s">
        <v>30</v>
      </c>
      <c r="PF5" s="279" t="s">
        <v>201</v>
      </c>
      <c r="PG5" s="279" t="s">
        <v>33</v>
      </c>
      <c r="PH5" s="279" t="s">
        <v>34</v>
      </c>
      <c r="PI5" s="279" t="s">
        <v>35</v>
      </c>
      <c r="PJ5" s="279" t="s">
        <v>36</v>
      </c>
      <c r="PK5" s="279" t="s">
        <v>37</v>
      </c>
      <c r="PL5" s="282" t="s">
        <v>196</v>
      </c>
      <c r="PM5" s="283" t="s">
        <v>30</v>
      </c>
      <c r="PN5" s="279" t="s">
        <v>201</v>
      </c>
      <c r="PO5" s="279" t="s">
        <v>33</v>
      </c>
      <c r="PP5" s="279" t="s">
        <v>34</v>
      </c>
      <c r="PQ5" s="279" t="s">
        <v>35</v>
      </c>
      <c r="PR5" s="279" t="s">
        <v>36</v>
      </c>
      <c r="PS5" s="279" t="s">
        <v>37</v>
      </c>
      <c r="PT5" s="282" t="s">
        <v>196</v>
      </c>
      <c r="PU5" s="283" t="s">
        <v>30</v>
      </c>
      <c r="PV5" s="279" t="s">
        <v>201</v>
      </c>
      <c r="PW5" s="279" t="s">
        <v>33</v>
      </c>
      <c r="PX5" s="279" t="s">
        <v>34</v>
      </c>
      <c r="PY5" s="279" t="s">
        <v>35</v>
      </c>
      <c r="PZ5" s="279" t="s">
        <v>36</v>
      </c>
      <c r="QA5" s="279" t="s">
        <v>37</v>
      </c>
      <c r="QB5" s="280" t="s">
        <v>196</v>
      </c>
      <c r="QC5" s="281" t="s">
        <v>30</v>
      </c>
      <c r="QD5" s="279" t="s">
        <v>201</v>
      </c>
      <c r="QE5" s="279" t="s">
        <v>33</v>
      </c>
      <c r="QF5" s="279" t="s">
        <v>34</v>
      </c>
      <c r="QG5" s="279" t="s">
        <v>35</v>
      </c>
      <c r="QH5" s="279" t="s">
        <v>36</v>
      </c>
      <c r="QI5" s="279" t="s">
        <v>37</v>
      </c>
      <c r="QJ5" s="282" t="s">
        <v>196</v>
      </c>
      <c r="QK5" s="283" t="s">
        <v>30</v>
      </c>
      <c r="QL5" s="279" t="s">
        <v>201</v>
      </c>
      <c r="QM5" s="279" t="s">
        <v>33</v>
      </c>
      <c r="QN5" s="279" t="s">
        <v>34</v>
      </c>
      <c r="QO5" s="279" t="s">
        <v>35</v>
      </c>
      <c r="QP5" s="279" t="s">
        <v>36</v>
      </c>
      <c r="QQ5" s="279" t="s">
        <v>37</v>
      </c>
      <c r="QR5" s="282" t="s">
        <v>196</v>
      </c>
      <c r="QS5" s="283" t="s">
        <v>30</v>
      </c>
      <c r="QT5" s="279" t="s">
        <v>201</v>
      </c>
      <c r="QU5" s="279" t="s">
        <v>33</v>
      </c>
      <c r="QV5" s="279" t="s">
        <v>34</v>
      </c>
      <c r="QW5" s="279" t="s">
        <v>35</v>
      </c>
      <c r="QX5" s="279" t="s">
        <v>36</v>
      </c>
      <c r="QY5" s="279" t="s">
        <v>37</v>
      </c>
      <c r="QZ5" s="282" t="s">
        <v>196</v>
      </c>
      <c r="RA5" s="283" t="s">
        <v>30</v>
      </c>
      <c r="RB5" s="279" t="s">
        <v>201</v>
      </c>
      <c r="RC5" s="279" t="s">
        <v>33</v>
      </c>
      <c r="RD5" s="279" t="s">
        <v>34</v>
      </c>
      <c r="RE5" s="279" t="s">
        <v>35</v>
      </c>
      <c r="RF5" s="279" t="s">
        <v>36</v>
      </c>
      <c r="RG5" s="279" t="s">
        <v>37</v>
      </c>
      <c r="RH5" s="282" t="s">
        <v>196</v>
      </c>
      <c r="RI5" s="283" t="s">
        <v>30</v>
      </c>
      <c r="RJ5" s="279" t="s">
        <v>201</v>
      </c>
      <c r="RK5" s="279" t="s">
        <v>33</v>
      </c>
      <c r="RL5" s="279" t="s">
        <v>34</v>
      </c>
      <c r="RM5" s="279" t="s">
        <v>35</v>
      </c>
      <c r="RN5" s="279" t="s">
        <v>36</v>
      </c>
      <c r="RO5" s="279" t="s">
        <v>37</v>
      </c>
      <c r="RP5" s="282" t="s">
        <v>196</v>
      </c>
      <c r="RQ5" s="283" t="s">
        <v>30</v>
      </c>
      <c r="RR5" s="279" t="s">
        <v>201</v>
      </c>
      <c r="RS5" s="279" t="s">
        <v>33</v>
      </c>
      <c r="RT5" s="279" t="s">
        <v>34</v>
      </c>
      <c r="RU5" s="279" t="s">
        <v>35</v>
      </c>
      <c r="RV5" s="279" t="s">
        <v>36</v>
      </c>
      <c r="RW5" s="279" t="s">
        <v>37</v>
      </c>
      <c r="RX5" s="282" t="s">
        <v>196</v>
      </c>
      <c r="RY5" s="283" t="s">
        <v>30</v>
      </c>
      <c r="RZ5" s="279" t="s">
        <v>201</v>
      </c>
      <c r="SA5" s="279" t="s">
        <v>33</v>
      </c>
      <c r="SB5" s="279" t="s">
        <v>34</v>
      </c>
      <c r="SC5" s="279" t="s">
        <v>35</v>
      </c>
      <c r="SD5" s="279" t="s">
        <v>36</v>
      </c>
      <c r="SE5" s="279" t="s">
        <v>37</v>
      </c>
      <c r="SF5" s="282" t="s">
        <v>196</v>
      </c>
      <c r="SG5" s="283" t="s">
        <v>30</v>
      </c>
      <c r="SH5" s="279" t="s">
        <v>201</v>
      </c>
      <c r="SI5" s="279" t="s">
        <v>33</v>
      </c>
      <c r="SJ5" s="279" t="s">
        <v>34</v>
      </c>
      <c r="SK5" s="279" t="s">
        <v>35</v>
      </c>
      <c r="SL5" s="279" t="s">
        <v>36</v>
      </c>
      <c r="SM5" s="279" t="s">
        <v>37</v>
      </c>
      <c r="SN5" s="282" t="s">
        <v>196</v>
      </c>
      <c r="SO5" s="283" t="s">
        <v>30</v>
      </c>
      <c r="SP5" s="38" t="s">
        <v>201</v>
      </c>
      <c r="SQ5" s="38" t="s">
        <v>33</v>
      </c>
      <c r="SR5" s="38" t="s">
        <v>34</v>
      </c>
      <c r="SS5" s="38" t="s">
        <v>35</v>
      </c>
      <c r="ST5" s="38" t="s">
        <v>36</v>
      </c>
      <c r="SU5" s="38" t="s">
        <v>37</v>
      </c>
      <c r="SV5" s="93" t="s">
        <v>196</v>
      </c>
      <c r="SW5" s="94" t="s">
        <v>30</v>
      </c>
      <c r="SX5" s="38" t="s">
        <v>201</v>
      </c>
      <c r="SY5" s="38" t="s">
        <v>33</v>
      </c>
      <c r="SZ5" s="38" t="s">
        <v>34</v>
      </c>
      <c r="TA5" s="38" t="s">
        <v>35</v>
      </c>
      <c r="TB5" s="38" t="s">
        <v>36</v>
      </c>
      <c r="TC5" s="38" t="s">
        <v>37</v>
      </c>
      <c r="TD5" s="93" t="s">
        <v>196</v>
      </c>
      <c r="TE5" s="94" t="s">
        <v>30</v>
      </c>
      <c r="TF5" s="38" t="s">
        <v>201</v>
      </c>
      <c r="TG5" s="38" t="s">
        <v>33</v>
      </c>
      <c r="TH5" s="38" t="s">
        <v>34</v>
      </c>
      <c r="TI5" s="38" t="s">
        <v>35</v>
      </c>
      <c r="TJ5" s="38" t="s">
        <v>36</v>
      </c>
      <c r="TK5" s="38" t="s">
        <v>37</v>
      </c>
      <c r="TL5" s="93" t="s">
        <v>196</v>
      </c>
      <c r="TM5" s="94" t="s">
        <v>30</v>
      </c>
      <c r="TN5" s="38" t="s">
        <v>201</v>
      </c>
      <c r="TO5" s="38" t="s">
        <v>33</v>
      </c>
      <c r="TP5" s="38" t="s">
        <v>34</v>
      </c>
      <c r="TQ5" s="38" t="s">
        <v>35</v>
      </c>
      <c r="TR5" s="38" t="s">
        <v>36</v>
      </c>
      <c r="TS5" s="38" t="s">
        <v>37</v>
      </c>
      <c r="TT5" s="93" t="s">
        <v>196</v>
      </c>
      <c r="TU5" s="94" t="s">
        <v>30</v>
      </c>
      <c r="TV5" s="38" t="s">
        <v>201</v>
      </c>
      <c r="TW5" s="38" t="s">
        <v>33</v>
      </c>
      <c r="TX5" s="38" t="s">
        <v>34</v>
      </c>
      <c r="TY5" s="38" t="s">
        <v>35</v>
      </c>
      <c r="TZ5" s="38" t="s">
        <v>36</v>
      </c>
      <c r="UA5" s="38" t="s">
        <v>37</v>
      </c>
      <c r="UB5" s="93" t="s">
        <v>196</v>
      </c>
      <c r="UC5" s="94" t="s">
        <v>30</v>
      </c>
      <c r="UD5" s="38" t="s">
        <v>201</v>
      </c>
      <c r="UE5" s="38" t="s">
        <v>33</v>
      </c>
      <c r="UF5" s="38" t="s">
        <v>34</v>
      </c>
      <c r="UG5" s="38" t="s">
        <v>35</v>
      </c>
      <c r="UH5" s="38" t="s">
        <v>36</v>
      </c>
      <c r="UI5" s="38" t="s">
        <v>37</v>
      </c>
      <c r="UJ5" s="93" t="s">
        <v>196</v>
      </c>
      <c r="UK5" s="94" t="s">
        <v>30</v>
      </c>
      <c r="UL5" s="38" t="s">
        <v>201</v>
      </c>
      <c r="UM5" s="38" t="s">
        <v>33</v>
      </c>
      <c r="UN5" s="38" t="s">
        <v>34</v>
      </c>
      <c r="UO5" s="38" t="s">
        <v>35</v>
      </c>
      <c r="UP5" s="38" t="s">
        <v>36</v>
      </c>
      <c r="UQ5" s="38" t="s">
        <v>37</v>
      </c>
      <c r="UR5" s="93" t="s">
        <v>196</v>
      </c>
      <c r="US5" s="94" t="s">
        <v>30</v>
      </c>
      <c r="UT5" s="38" t="s">
        <v>201</v>
      </c>
      <c r="UU5" s="38" t="s">
        <v>33</v>
      </c>
      <c r="UV5" s="38" t="s">
        <v>34</v>
      </c>
      <c r="UW5" s="38" t="s">
        <v>35</v>
      </c>
      <c r="UX5" s="38" t="s">
        <v>36</v>
      </c>
      <c r="UY5" s="38" t="s">
        <v>37</v>
      </c>
      <c r="UZ5" s="93" t="s">
        <v>196</v>
      </c>
      <c r="VA5" s="94" t="s">
        <v>30</v>
      </c>
      <c r="VB5" s="38" t="s">
        <v>201</v>
      </c>
      <c r="VC5" s="38" t="s">
        <v>33</v>
      </c>
      <c r="VD5" s="38" t="s">
        <v>34</v>
      </c>
      <c r="VE5" s="38" t="s">
        <v>35</v>
      </c>
      <c r="VF5" s="38" t="s">
        <v>36</v>
      </c>
      <c r="VG5" s="38" t="s">
        <v>37</v>
      </c>
      <c r="VH5" s="286" t="s">
        <v>196</v>
      </c>
      <c r="VI5" s="287" t="s">
        <v>30</v>
      </c>
      <c r="VJ5" s="38" t="s">
        <v>201</v>
      </c>
      <c r="VK5" s="38" t="s">
        <v>33</v>
      </c>
      <c r="VL5" s="38" t="s">
        <v>34</v>
      </c>
      <c r="VM5" s="38" t="s">
        <v>35</v>
      </c>
      <c r="VN5" s="38" t="s">
        <v>36</v>
      </c>
      <c r="VO5" s="38" t="s">
        <v>37</v>
      </c>
      <c r="VP5" s="93" t="s">
        <v>196</v>
      </c>
      <c r="VQ5" s="94" t="s">
        <v>30</v>
      </c>
      <c r="VR5" s="38" t="s">
        <v>201</v>
      </c>
      <c r="VS5" s="38" t="s">
        <v>33</v>
      </c>
      <c r="VT5" s="38" t="s">
        <v>34</v>
      </c>
      <c r="VU5" s="38" t="s">
        <v>35</v>
      </c>
      <c r="VV5" s="38" t="s">
        <v>36</v>
      </c>
      <c r="VW5" s="38" t="s">
        <v>37</v>
      </c>
      <c r="VX5" s="93" t="s">
        <v>196</v>
      </c>
      <c r="VY5" s="94" t="s">
        <v>30</v>
      </c>
      <c r="VZ5" s="38" t="s">
        <v>201</v>
      </c>
      <c r="WA5" s="38" t="s">
        <v>33</v>
      </c>
      <c r="WB5" s="38" t="s">
        <v>34</v>
      </c>
      <c r="WC5" s="38" t="s">
        <v>35</v>
      </c>
      <c r="WD5" s="38" t="s">
        <v>36</v>
      </c>
      <c r="WE5" s="38" t="s">
        <v>37</v>
      </c>
      <c r="WF5" s="93" t="s">
        <v>196</v>
      </c>
      <c r="WG5" s="94" t="s">
        <v>30</v>
      </c>
      <c r="WH5" s="38" t="s">
        <v>201</v>
      </c>
      <c r="WI5" s="38" t="s">
        <v>33</v>
      </c>
      <c r="WJ5" s="38" t="s">
        <v>34</v>
      </c>
      <c r="WK5" s="38" t="s">
        <v>35</v>
      </c>
      <c r="WL5" s="38" t="s">
        <v>36</v>
      </c>
      <c r="WM5" s="38" t="s">
        <v>37</v>
      </c>
      <c r="WN5" s="93" t="s">
        <v>196</v>
      </c>
      <c r="WO5" s="94" t="s">
        <v>30</v>
      </c>
      <c r="WP5" s="38" t="s">
        <v>201</v>
      </c>
      <c r="WQ5" s="38" t="s">
        <v>33</v>
      </c>
      <c r="WR5" s="38" t="s">
        <v>34</v>
      </c>
      <c r="WS5" s="38" t="s">
        <v>35</v>
      </c>
      <c r="WT5" s="38" t="s">
        <v>36</v>
      </c>
      <c r="WU5" s="38" t="s">
        <v>37</v>
      </c>
      <c r="WV5" s="93" t="s">
        <v>196</v>
      </c>
      <c r="WW5" s="94" t="s">
        <v>30</v>
      </c>
      <c r="WX5" s="38" t="s">
        <v>201</v>
      </c>
      <c r="WY5" s="38" t="s">
        <v>33</v>
      </c>
      <c r="WZ5" s="38" t="s">
        <v>34</v>
      </c>
      <c r="XA5" s="38" t="s">
        <v>35</v>
      </c>
      <c r="XB5" s="38" t="s">
        <v>36</v>
      </c>
      <c r="XC5" s="38" t="s">
        <v>37</v>
      </c>
      <c r="XD5" s="93" t="s">
        <v>196</v>
      </c>
      <c r="XE5" s="94" t="s">
        <v>30</v>
      </c>
      <c r="XF5" s="38" t="s">
        <v>201</v>
      </c>
      <c r="XG5" s="38" t="s">
        <v>33</v>
      </c>
      <c r="XH5" s="38" t="s">
        <v>34</v>
      </c>
      <c r="XI5" s="38" t="s">
        <v>35</v>
      </c>
      <c r="XJ5" s="38" t="s">
        <v>36</v>
      </c>
      <c r="XK5" s="38" t="s">
        <v>37</v>
      </c>
      <c r="XL5" s="93" t="s">
        <v>196</v>
      </c>
      <c r="XM5" s="94" t="s">
        <v>30</v>
      </c>
      <c r="XN5" s="38" t="s">
        <v>201</v>
      </c>
      <c r="XO5" s="38" t="s">
        <v>33</v>
      </c>
      <c r="XP5" s="38" t="s">
        <v>34</v>
      </c>
      <c r="XQ5" s="38" t="s">
        <v>35</v>
      </c>
      <c r="XR5" s="38" t="s">
        <v>36</v>
      </c>
      <c r="XS5" s="38" t="s">
        <v>37</v>
      </c>
      <c r="XT5" s="93" t="s">
        <v>196</v>
      </c>
      <c r="XU5" s="94" t="s">
        <v>30</v>
      </c>
      <c r="XV5" s="285" t="s">
        <v>230</v>
      </c>
      <c r="XW5" s="91" t="s">
        <v>283</v>
      </c>
      <c r="XX5" s="91" t="s">
        <v>280</v>
      </c>
      <c r="XY5" s="91" t="s">
        <v>253</v>
      </c>
      <c r="XZ5" s="91" t="s">
        <v>280</v>
      </c>
      <c r="YA5" s="91" t="s">
        <v>287</v>
      </c>
      <c r="YB5" s="91" t="s">
        <v>280</v>
      </c>
      <c r="YC5" s="91" t="s">
        <v>281</v>
      </c>
      <c r="YD5" s="91" t="s">
        <v>280</v>
      </c>
      <c r="YE5" s="91" t="s">
        <v>288</v>
      </c>
      <c r="YF5" s="91" t="s">
        <v>280</v>
      </c>
      <c r="YG5" s="91" t="s">
        <v>283</v>
      </c>
      <c r="YH5" s="91" t="s">
        <v>280</v>
      </c>
      <c r="YI5" s="91" t="s">
        <v>253</v>
      </c>
      <c r="YJ5" s="91" t="s">
        <v>280</v>
      </c>
      <c r="YK5" s="91" t="s">
        <v>531</v>
      </c>
      <c r="YL5" s="91" t="s">
        <v>280</v>
      </c>
      <c r="YM5" s="91" t="s">
        <v>253</v>
      </c>
      <c r="YN5" s="91" t="s">
        <v>280</v>
      </c>
      <c r="YO5" s="91" t="s">
        <v>281</v>
      </c>
      <c r="YP5" s="91" t="s">
        <v>280</v>
      </c>
      <c r="YQ5" s="91" t="s">
        <v>288</v>
      </c>
      <c r="YR5" s="91" t="s">
        <v>280</v>
      </c>
      <c r="YS5" s="91" t="s">
        <v>282</v>
      </c>
      <c r="YT5" s="91" t="s">
        <v>280</v>
      </c>
      <c r="YU5" s="91" t="s">
        <v>157</v>
      </c>
      <c r="YV5" s="91" t="s">
        <v>280</v>
      </c>
      <c r="YW5" s="91" t="s">
        <v>533</v>
      </c>
      <c r="YX5" s="91" t="s">
        <v>280</v>
      </c>
      <c r="YY5" s="302" t="s">
        <v>283</v>
      </c>
      <c r="YZ5" s="302" t="s">
        <v>280</v>
      </c>
      <c r="ZA5" s="302" t="s">
        <v>253</v>
      </c>
      <c r="ZB5" s="302" t="s">
        <v>280</v>
      </c>
      <c r="ZC5" s="302" t="s">
        <v>284</v>
      </c>
      <c r="ZD5" s="302" t="s">
        <v>280</v>
      </c>
      <c r="ZE5" s="302" t="s">
        <v>281</v>
      </c>
      <c r="ZF5" s="302" t="s">
        <v>280</v>
      </c>
      <c r="ZG5" s="302" t="s">
        <v>288</v>
      </c>
      <c r="ZH5" s="302" t="s">
        <v>280</v>
      </c>
      <c r="ZI5" s="302" t="s">
        <v>283</v>
      </c>
      <c r="ZJ5" s="302" t="s">
        <v>280</v>
      </c>
      <c r="ZK5" s="302" t="s">
        <v>253</v>
      </c>
      <c r="ZL5" s="302" t="s">
        <v>280</v>
      </c>
      <c r="ZM5" s="302" t="s">
        <v>531</v>
      </c>
      <c r="ZN5" s="302" t="s">
        <v>280</v>
      </c>
      <c r="ZO5" s="302" t="s">
        <v>253</v>
      </c>
      <c r="ZP5" s="302" t="s">
        <v>280</v>
      </c>
      <c r="ZQ5" s="302" t="s">
        <v>281</v>
      </c>
      <c r="ZR5" s="302" t="s">
        <v>280</v>
      </c>
      <c r="ZS5" s="302" t="s">
        <v>288</v>
      </c>
      <c r="ZT5" s="302" t="s">
        <v>280</v>
      </c>
      <c r="ZU5" s="302" t="s">
        <v>282</v>
      </c>
      <c r="ZV5" s="302" t="s">
        <v>280</v>
      </c>
      <c r="ZW5" s="302" t="s">
        <v>157</v>
      </c>
      <c r="ZX5" s="302" t="s">
        <v>280</v>
      </c>
      <c r="ZY5" s="302" t="s">
        <v>533</v>
      </c>
      <c r="ZZ5" s="302" t="s">
        <v>280</v>
      </c>
      <c r="AAA5" s="285" t="s">
        <v>283</v>
      </c>
      <c r="AAB5" s="285" t="s">
        <v>280</v>
      </c>
      <c r="AAC5" s="285" t="s">
        <v>253</v>
      </c>
      <c r="AAD5" s="285" t="s">
        <v>280</v>
      </c>
      <c r="AAE5" s="285" t="s">
        <v>284</v>
      </c>
      <c r="AAF5" s="285" t="s">
        <v>280</v>
      </c>
      <c r="AAG5" s="285" t="s">
        <v>281</v>
      </c>
      <c r="AAH5" s="285" t="s">
        <v>280</v>
      </c>
      <c r="AAI5" s="285" t="s">
        <v>288</v>
      </c>
      <c r="AAJ5" s="285" t="s">
        <v>280</v>
      </c>
      <c r="AAK5" s="285" t="s">
        <v>283</v>
      </c>
      <c r="AAL5" s="285" t="s">
        <v>280</v>
      </c>
      <c r="AAM5" s="285" t="s">
        <v>253</v>
      </c>
      <c r="AAN5" s="285" t="s">
        <v>280</v>
      </c>
      <c r="AAO5" s="285" t="s">
        <v>531</v>
      </c>
      <c r="AAP5" s="285" t="s">
        <v>280</v>
      </c>
      <c r="AAQ5" s="285" t="s">
        <v>253</v>
      </c>
      <c r="AAR5" s="285" t="s">
        <v>280</v>
      </c>
      <c r="AAS5" s="285" t="s">
        <v>281</v>
      </c>
      <c r="AAT5" s="285" t="s">
        <v>280</v>
      </c>
      <c r="AAU5" s="285" t="s">
        <v>288</v>
      </c>
      <c r="AAV5" s="285" t="s">
        <v>280</v>
      </c>
      <c r="AAW5" s="285" t="s">
        <v>282</v>
      </c>
      <c r="AAX5" s="285" t="s">
        <v>280</v>
      </c>
      <c r="AAY5" s="285" t="s">
        <v>157</v>
      </c>
      <c r="AAZ5" s="285" t="s">
        <v>280</v>
      </c>
      <c r="ABA5" s="285" t="s">
        <v>533</v>
      </c>
      <c r="ABB5" s="285" t="s">
        <v>280</v>
      </c>
    </row>
    <row r="6" spans="1:730" ht="26.15" customHeight="1">
      <c r="A6" s="323">
        <f>調査票!E13</f>
        <v>0</v>
      </c>
      <c r="B6" s="324" t="str">
        <f>調査票!M9</f>
        <v>令和　　年　　月　　日</v>
      </c>
      <c r="C6" s="323">
        <f>調査票!E14</f>
        <v>0</v>
      </c>
      <c r="D6" s="323">
        <f>調査票!M14</f>
        <v>0</v>
      </c>
      <c r="E6" s="323">
        <f>調査票!E15</f>
        <v>0</v>
      </c>
      <c r="F6" s="323">
        <f>調査票!M15</f>
        <v>0</v>
      </c>
      <c r="G6" s="319">
        <f>調査票!E22</f>
        <v>0</v>
      </c>
      <c r="H6" s="319">
        <f>調査票!E23</f>
        <v>0</v>
      </c>
      <c r="I6" s="319">
        <f>調査票!E24</f>
        <v>0</v>
      </c>
      <c r="J6" s="320">
        <f>調査票!E25</f>
        <v>0</v>
      </c>
      <c r="K6" s="321">
        <f>調査票!E26</f>
        <v>0</v>
      </c>
      <c r="L6" s="322">
        <f>調査票!E27</f>
        <v>0</v>
      </c>
      <c r="M6" s="319">
        <f>調査票!G22</f>
        <v>0</v>
      </c>
      <c r="N6" s="319">
        <f>調査票!G23</f>
        <v>0</v>
      </c>
      <c r="O6" s="319">
        <f>調査票!G24</f>
        <v>0</v>
      </c>
      <c r="P6" s="320">
        <f>調査票!G25</f>
        <v>0</v>
      </c>
      <c r="Q6" s="321">
        <f>調査票!G26</f>
        <v>0</v>
      </c>
      <c r="R6" s="319">
        <f>調査票!G27</f>
        <v>0</v>
      </c>
      <c r="S6" s="319">
        <f>調査票!I22</f>
        <v>0</v>
      </c>
      <c r="T6" s="319">
        <f>調査票!I23</f>
        <v>0</v>
      </c>
      <c r="U6" s="319">
        <f>調査票!I24</f>
        <v>0</v>
      </c>
      <c r="V6" s="320">
        <f>調査票!I25</f>
        <v>0</v>
      </c>
      <c r="W6" s="321">
        <f>調査票!I26</f>
        <v>0</v>
      </c>
      <c r="X6" s="319">
        <f>調査票!I27</f>
        <v>0</v>
      </c>
      <c r="Y6" s="319">
        <f>調査票!K22</f>
        <v>0</v>
      </c>
      <c r="Z6" s="319">
        <f>調査票!K23</f>
        <v>0</v>
      </c>
      <c r="AA6" s="319">
        <f>調査票!K24</f>
        <v>0</v>
      </c>
      <c r="AB6" s="320">
        <f>調査票!K25</f>
        <v>0</v>
      </c>
      <c r="AC6" s="321">
        <f>調査票!K26</f>
        <v>0</v>
      </c>
      <c r="AD6" s="319">
        <f>調査票!K27</f>
        <v>0</v>
      </c>
      <c r="AE6" s="319">
        <f>調査票!M22</f>
        <v>0</v>
      </c>
      <c r="AF6" s="319">
        <f>調査票!M23</f>
        <v>0</v>
      </c>
      <c r="AG6" s="319">
        <f>調査票!M24</f>
        <v>0</v>
      </c>
      <c r="AH6" s="320">
        <f>調査票!M25</f>
        <v>0</v>
      </c>
      <c r="AI6" s="321">
        <f>調査票!M26</f>
        <v>0</v>
      </c>
      <c r="AJ6" s="319">
        <f>調査票!M27</f>
        <v>0</v>
      </c>
      <c r="AK6" s="319">
        <f>調査票!O22</f>
        <v>0</v>
      </c>
      <c r="AL6" s="319">
        <f>調査票!O23</f>
        <v>0</v>
      </c>
      <c r="AM6" s="319">
        <f>調査票!O24</f>
        <v>0</v>
      </c>
      <c r="AN6" s="320">
        <f>調査票!O25</f>
        <v>0</v>
      </c>
      <c r="AO6" s="321">
        <f>調査票!O26</f>
        <v>0</v>
      </c>
      <c r="AP6" s="319">
        <f>調査票!O27</f>
        <v>0</v>
      </c>
      <c r="AQ6" s="319">
        <f>調査票!A34</f>
        <v>0</v>
      </c>
      <c r="AR6" s="319">
        <f>調査票!C34</f>
        <v>0</v>
      </c>
      <c r="AS6" s="319">
        <f>調査票!E34</f>
        <v>0</v>
      </c>
      <c r="AT6" s="319">
        <f>調査票!G34</f>
        <v>0</v>
      </c>
      <c r="AU6" s="320">
        <f>調査票!I34</f>
        <v>0</v>
      </c>
      <c r="AV6" s="321">
        <f>調査票!K34</f>
        <v>0</v>
      </c>
      <c r="AW6" s="325">
        <f>調査票!A37</f>
        <v>0</v>
      </c>
      <c r="AX6" s="319">
        <f>調査票!G41</f>
        <v>0</v>
      </c>
      <c r="AY6" s="319">
        <f>調査票!I41</f>
        <v>0</v>
      </c>
      <c r="AZ6" s="319">
        <f>調査票!K41</f>
        <v>0</v>
      </c>
      <c r="BA6" s="320">
        <f>調査票!M41</f>
        <v>0</v>
      </c>
      <c r="BB6" s="321">
        <f>調査票!O41</f>
        <v>0</v>
      </c>
      <c r="BC6" s="319">
        <f>調査票!G42</f>
        <v>0</v>
      </c>
      <c r="BD6" s="319">
        <f>調査票!I42</f>
        <v>0</v>
      </c>
      <c r="BE6" s="319">
        <f>調査票!K42</f>
        <v>0</v>
      </c>
      <c r="BF6" s="320">
        <f>調査票!M42</f>
        <v>0</v>
      </c>
      <c r="BG6" s="321">
        <f>調査票!O42</f>
        <v>0</v>
      </c>
      <c r="BH6" s="319">
        <f>AX6+BC6</f>
        <v>0</v>
      </c>
      <c r="BI6" s="319">
        <f>AY6+BD6</f>
        <v>0</v>
      </c>
      <c r="BJ6" s="319">
        <f>AZ6+BE6</f>
        <v>0</v>
      </c>
      <c r="BK6" s="320">
        <f>BA6+BF6</f>
        <v>0</v>
      </c>
      <c r="BL6" s="321">
        <f>BB6+BG6</f>
        <v>0</v>
      </c>
      <c r="BM6" s="324">
        <f>調査票!B46</f>
        <v>0</v>
      </c>
      <c r="BN6" s="319">
        <f>調査票!B47</f>
        <v>0</v>
      </c>
      <c r="BO6" s="319">
        <f>調査票!B48</f>
        <v>0</v>
      </c>
      <c r="BP6" s="326">
        <f>調査票!G52</f>
        <v>0</v>
      </c>
      <c r="BQ6" s="326">
        <f>調査票!I52</f>
        <v>0</v>
      </c>
      <c r="BR6" s="326">
        <f>調査票!K52</f>
        <v>0</v>
      </c>
      <c r="BS6" s="326">
        <f>調査票!M52</f>
        <v>0</v>
      </c>
      <c r="BT6" s="327">
        <f>調査票!O52</f>
        <v>0</v>
      </c>
      <c r="BU6" s="326">
        <f>調査票!G53</f>
        <v>0</v>
      </c>
      <c r="BV6" s="326">
        <f>調査票!I53</f>
        <v>0</v>
      </c>
      <c r="BW6" s="326">
        <f>調査票!K53</f>
        <v>0</v>
      </c>
      <c r="BX6" s="326">
        <f>調査票!M53</f>
        <v>0</v>
      </c>
      <c r="BY6" s="327">
        <f>調査票!O53</f>
        <v>0</v>
      </c>
      <c r="BZ6" s="326">
        <f>BP6+BU6</f>
        <v>0</v>
      </c>
      <c r="CA6" s="326">
        <f>BQ6+BV6</f>
        <v>0</v>
      </c>
      <c r="CB6" s="326">
        <f>BR6+BW6</f>
        <v>0</v>
      </c>
      <c r="CC6" s="326">
        <f>BS6+BX6</f>
        <v>0</v>
      </c>
      <c r="CD6" s="327">
        <f>BT6+BY6</f>
        <v>0</v>
      </c>
      <c r="CE6" s="326">
        <f>COUNTIFS(調査票!$D$60:$D$69,"保健師",調査票!$G$60:$G$69,"正規雇用")</f>
        <v>0</v>
      </c>
      <c r="CF6" s="328">
        <f>COUNTIFS(調査票!$D$60:$D$69,"保健師",調査票!$G$60:$G$69,"正規雇用",調査票!$K$60:$K$69,"新卒（県外養成所）")+COUNTIFS(調査票!$D$60:$D$69,"保健師",調査票!$G$60:$G$69,"正規雇用",調査票!$K$60:$K$69,"既卒（県外に居住又は県外からの就職）")</f>
        <v>0</v>
      </c>
      <c r="CG6" s="326">
        <f>COUNTIFS(調査票!$D$60:$D$69,"助産師",調査票!$G$60:$G$69,"正規雇用")</f>
        <v>0</v>
      </c>
      <c r="CH6" s="328">
        <f>COUNTIFS(調査票!$D$60:$D$69,"助産師",調査票!$G$60:$G$69,"正規雇用",調査票!$K$60:$K$69,"新卒（県外養成所）")+COUNTIFS(調査票!$D$60:$D$69,"助産師",調査票!$G$60:$G$69,"正規雇用",調査票!$K$60:$K$69,"既卒（県外に居住又は県外からの就職）")</f>
        <v>0</v>
      </c>
      <c r="CI6" s="326">
        <f>COUNTIFS(調査票!$D$60:$D$69,"看護師",調査票!$G$60:$G$69,"正規雇用")</f>
        <v>0</v>
      </c>
      <c r="CJ6" s="328">
        <f>COUNTIFS(調査票!$D$60:$D$69,"看護師",調査票!$G$60:$G$69,"正規雇用",調査票!$K$60:$K$69,"新卒（県外養成所）")+COUNTIFS(調査票!$D$60:$D$69,"看護師",調査票!$G$60:$G$69,"正規雇用",調査票!$K$60:$K$69,"既卒（県外に居住又は県外からの就職）")</f>
        <v>0</v>
      </c>
      <c r="CK6" s="326">
        <f>COUNTIFS(調査票!$D$60:$D$69,"准看護師",調査票!$G$60:$G$69,"正規雇用")</f>
        <v>0</v>
      </c>
      <c r="CL6" s="328">
        <f>COUNTIFS(調査票!$D$60:$D$69,"准看護師",調査票!$G$60:$G$69,"正規雇用",調査票!$K$60:$K$69,"新卒（県外養成所）")+COUNTIFS(調査票!$D$60:$D$69,"准看護師",調査票!$G$60:$G$69,"正規雇用",調査票!$K$60:$K$69,"既卒（県外に居住又は県外からの就職）")</f>
        <v>0</v>
      </c>
      <c r="CM6" s="327">
        <f>CE6+CG6+CI6+CK6</f>
        <v>0</v>
      </c>
      <c r="CN6" s="328">
        <f>COUNTIFS(調査票!$G$60:$G$69,"正規雇用",調査票!$K$60:$K$69,"新卒（県外養成所）")+COUNTIFS(調査票!$G$60:$G$69,"正規雇用",調査票!$K$60:$K$69,"既卒（県外に居住又は県外からの就職）")</f>
        <v>0</v>
      </c>
      <c r="CO6" s="326">
        <f>COUNTIFS(調査票!$D$60:$D$69,"保健師",調査票!$G$60:$G$69,"非正規雇用")</f>
        <v>0</v>
      </c>
      <c r="CP6" s="328">
        <f>COUNTIFS(調査票!$D$60:$D$69,"保健師",調査票!$G$60:$G$69,"非正規雇用",調査票!$K$60:$K$69,"新卒（県外養成所）")+COUNTIFS(調査票!$D$60:$D$69,"保健師",調査票!$G$60:$G$69,"非正規雇用",調査票!$K$60:$K$69,"既卒（県外に居住又は県外からの就職）")</f>
        <v>0</v>
      </c>
      <c r="CQ6" s="326">
        <f>COUNTIFS(調査票!$D$60:$D$69,"助産師",調査票!$G$60:$G$69,"非正規雇用")</f>
        <v>0</v>
      </c>
      <c r="CR6" s="328">
        <f>COUNTIFS(調査票!$D$60:$D$69,"助産師",調査票!$G$60:$G$69,"非正規雇用",調査票!$K$60:$K$69,"新卒（県外養成所）")+COUNTIFS(調査票!$D$60:$D$69,"助産師",調査票!$G$60:$G$69,"非正規雇用",調査票!$K$60:$K$69,"既卒（県外に居住又は県外からの就職）")</f>
        <v>0</v>
      </c>
      <c r="CS6" s="326">
        <f>COUNTIFS(調査票!$D$60:$D$69,"看護師",調査票!$G$60:$G$69,"非正規雇用")</f>
        <v>0</v>
      </c>
      <c r="CT6" s="328">
        <f>COUNTIFS(調査票!$D$60:$D$69,"看護師",調査票!$G$60:$G$69,"非正規雇用",調査票!$K$60:$K$69,"新卒（県外養成所）")+COUNTIFS(調査票!$D$60:$D$69,"看護師",調査票!$G$60:$G$69,"非正規雇用",調査票!$K$60:$K$69,"既卒（県外に居住又は県外からの就職）")</f>
        <v>0</v>
      </c>
      <c r="CU6" s="326">
        <f>COUNTIFS(調査票!$D$60:$D$69,"准看護師",調査票!$G$60:$G$69,"非正規雇用")</f>
        <v>0</v>
      </c>
      <c r="CV6" s="328">
        <f>COUNTIFS(調査票!$D$60:$D$69,"准看護師",調査票!$G$60:$G$69,"非正規雇用",調査票!$K$60:$K$69,"新卒（県外養成所）")+COUNTIFS(調査票!$D$60:$D$69,"准看護師",調査票!$G$60:$G$69,"非正規雇用",調査票!$K$60:$K$69,"既卒（県外に居住又は県外からの就職）")</f>
        <v>0</v>
      </c>
      <c r="CW6" s="327">
        <f>CO6+CQ6+CS6+CU6</f>
        <v>0</v>
      </c>
      <c r="CX6" s="328">
        <f>COUNTIFS(調査票!$G$60:$G$69,"非正規雇用",調査票!$K$60:$K$69,"新卒（県外養成所）")+COUNTIFS(調査票!$G$60:$G$69,"非正規雇用",調査票!$K$60:$K$69,"既卒（県外に居住又は県外からの就職）")</f>
        <v>0</v>
      </c>
      <c r="CY6" s="326">
        <f t="shared" ref="CY6:DH6" si="0">CE6+CO6</f>
        <v>0</v>
      </c>
      <c r="CZ6" s="328">
        <f t="shared" si="0"/>
        <v>0</v>
      </c>
      <c r="DA6" s="326">
        <f t="shared" si="0"/>
        <v>0</v>
      </c>
      <c r="DB6" s="328">
        <f t="shared" si="0"/>
        <v>0</v>
      </c>
      <c r="DC6" s="326">
        <f t="shared" si="0"/>
        <v>0</v>
      </c>
      <c r="DD6" s="328">
        <f t="shared" si="0"/>
        <v>0</v>
      </c>
      <c r="DE6" s="326">
        <f t="shared" si="0"/>
        <v>0</v>
      </c>
      <c r="DF6" s="328">
        <f t="shared" si="0"/>
        <v>0</v>
      </c>
      <c r="DG6" s="327">
        <f t="shared" si="0"/>
        <v>0</v>
      </c>
      <c r="DH6" s="328">
        <f t="shared" si="0"/>
        <v>0</v>
      </c>
      <c r="DI6" s="326">
        <f>COUNTIFS(調査票!$D$60:$D$69,"保健師",調査票!$G$60:$G$69,"正規雇用",調査票!$I$60:$I$69,"新卒")</f>
        <v>0</v>
      </c>
      <c r="DJ6" s="329">
        <f>COUNTIFS(調査票!$D$60:$D$69,"保健師",調査票!$G$60:$G$69,"正規雇用",調査票!$K$60:$K$69,"新卒（県外養成所）")</f>
        <v>0</v>
      </c>
      <c r="DK6" s="326">
        <f>COUNTIFS(調査票!$D$60:$D$69,"助産師",調査票!$G$60:$G$69,"正規雇用",調査票!$I$60:$I$69,"新卒")</f>
        <v>0</v>
      </c>
      <c r="DL6" s="330">
        <f>COUNTIFS(調査票!$D$60:$D$69,"助産師",調査票!$G$60:$G$69,"正規雇用",調査票!$K$60:$K$69,"新卒（県外養成所）")</f>
        <v>0</v>
      </c>
      <c r="DM6" s="326">
        <f>COUNTIFS(調査票!$D$60:$D$69,"看護師",調査票!$G$60:$G$69,"正規雇用",調査票!$I$60:$I$69,"新卒")</f>
        <v>0</v>
      </c>
      <c r="DN6" s="330">
        <f>COUNTIFS(調査票!$D$60:$D$69,"看護師",調査票!$G$60:$G$69,"正規雇用",調査票!$K$60:$K$69,"新卒（県外養成所）")</f>
        <v>0</v>
      </c>
      <c r="DO6" s="326">
        <f>COUNTIFS(調査票!$D$60:$D$69,"准看護師",調査票!$G$60:$G$69,"正規雇用",調査票!$I$60:$I$69,"新卒")</f>
        <v>0</v>
      </c>
      <c r="DP6" s="331">
        <f>COUNTIFS(調査票!$D$60:$D$69,"准看護師",調査票!$G$60:$G$69,"正規雇用",調査票!$K$60:$K$69,"新卒（県外養成所）")</f>
        <v>0</v>
      </c>
      <c r="DQ6" s="330">
        <f>DI6+DK6+DM6+DO6</f>
        <v>0</v>
      </c>
      <c r="DR6" s="332">
        <f>DJ6+DL6+DN6+DP6</f>
        <v>0</v>
      </c>
      <c r="DS6" s="326">
        <f>COUNTIFS(調査票!$D$60:$D$69,"保健師",調査票!$G$60:$G$69,"非正規雇用",調査票!$I$60:$I$69,"新卒")</f>
        <v>0</v>
      </c>
      <c r="DT6" s="330">
        <f>COUNTIFS(調査票!$D$60:$D$69,"保健師",調査票!$G$60:$G$69,"非正規雇用",調査票!$K$60:$K$69,"新卒（県外養成所）")</f>
        <v>0</v>
      </c>
      <c r="DU6" s="326">
        <f>COUNTIFS(調査票!$D$60:$D$69,"助産師",調査票!$G$60:$G$69,"非正規雇用",調査票!$I$60:$I$69,"新卒")</f>
        <v>0</v>
      </c>
      <c r="DV6" s="330">
        <f>COUNTIFS(調査票!$D$60:$D$69,"助産師",調査票!$G$60:$G$69,"非正規雇用",調査票!$K$60:$K$69,"新卒（県外養成所）")</f>
        <v>0</v>
      </c>
      <c r="DW6" s="326">
        <f>COUNTIFS(調査票!$D$60:$D$69,"看護師",調査票!$G$60:$G$69,"非正規雇用",調査票!$I$60:$I$69,"新卒")</f>
        <v>0</v>
      </c>
      <c r="DX6" s="330">
        <f>COUNTIFS(調査票!$D$60:$D$69,"看護師",調査票!$G$60:$G$69,"非正規雇用",調査票!$K$60:$K$69,"新卒（県外養成所）")</f>
        <v>0</v>
      </c>
      <c r="DY6" s="326">
        <f>COUNTIFS(調査票!$D$60:$D$69,"准看護師",調査票!$G$60:$G$69,"非正規雇用",調査票!$I$60:$I$69,"新卒")</f>
        <v>0</v>
      </c>
      <c r="DZ6" s="331">
        <f>COUNTIFS(調査票!$D$60:$D$69,"准看護師",調査票!$G$60:$G$69,"非正規雇用",調査票!$K$60:$K$69,"新卒（県外養成所）")</f>
        <v>0</v>
      </c>
      <c r="EA6" s="330">
        <f>DS6+DU6+DW6+DY6</f>
        <v>0</v>
      </c>
      <c r="EB6" s="332">
        <f>DT6+DV6+DX6+DZ6</f>
        <v>0</v>
      </c>
      <c r="EC6" s="326">
        <f>COUNTIFS(調査票!$D$60:$D$69,"保健師",調査票!$I$60:$I$69,"新卒")</f>
        <v>0</v>
      </c>
      <c r="ED6" s="330">
        <f>COUNTIFS(調査票!$D$60:$D$69,"保健師",調査票!$K$60:$K$69,"新卒（県外養成所）")</f>
        <v>0</v>
      </c>
      <c r="EE6" s="326">
        <f>COUNTIFS(調査票!$D$60:$D$69,"助産師",調査票!$I$60:$I$69,"新卒")</f>
        <v>0</v>
      </c>
      <c r="EF6" s="330">
        <f>COUNTIFS(調査票!$D$60:$D$69,"助産師",調査票!$K$60:$K$69,"新卒（県外養成所）")</f>
        <v>0</v>
      </c>
      <c r="EG6" s="326">
        <f>COUNTIFS(調査票!$D$60:$D$69,"看護師",調査票!$I$60:$I$69,"新卒")</f>
        <v>0</v>
      </c>
      <c r="EH6" s="330">
        <f>COUNTIFS(調査票!$D$60:$D$69,"看護師",調査票!$K$60:$K$69,"新卒（県外養成所）")</f>
        <v>0</v>
      </c>
      <c r="EI6" s="326">
        <f>COUNTIFS(調査票!$D$60:$D$69,"准看護師",調査票!$I$60:$I$69,"新卒")</f>
        <v>0</v>
      </c>
      <c r="EJ6" s="331">
        <f>COUNTIFS(調査票!$D$60:$D$69,"准看護師",調査票!$K$60:$K$69,"新卒（県外養成所）")</f>
        <v>0</v>
      </c>
      <c r="EK6" s="330">
        <f>EC6+EE6+EG6+EI6</f>
        <v>0</v>
      </c>
      <c r="EL6" s="332">
        <f>ED6+EF6+EH6+EJ6</f>
        <v>0</v>
      </c>
      <c r="EM6" s="333">
        <f>COUNTIFS(調査票!$F$60:$F$69,"20歳未満",調査票!$G$60:$G$69,"正規雇用")</f>
        <v>0</v>
      </c>
      <c r="EN6" s="333">
        <f>COUNTIFS(調査票!$F$60:$F$69,"20～29歳",調査票!$G$60:$G$69,"正規雇用")</f>
        <v>0</v>
      </c>
      <c r="EO6" s="333">
        <f>COUNTIFS(調査票!$F$60:$F$69,"30～39歳",調査票!$G$60:$G$69,"正規雇用")</f>
        <v>0</v>
      </c>
      <c r="EP6" s="333">
        <f>COUNTIFS(調査票!$F$60:$F$69,"40～49歳",調査票!$G$60:$G$69,"正規雇用")</f>
        <v>0</v>
      </c>
      <c r="EQ6" s="333">
        <f>COUNTIFS(調査票!$F$60:$F$69,"50～59歳",調査票!$G$60:$G$69,"正規雇用")</f>
        <v>0</v>
      </c>
      <c r="ER6" s="320">
        <f>COUNTIFS(調査票!$F$60:$F$69,"60歳以上",調査票!$G$60:$G$69,"正規雇用")</f>
        <v>0</v>
      </c>
      <c r="ES6" s="321">
        <f>SUM(EM6:ER6)</f>
        <v>0</v>
      </c>
      <c r="ET6" s="333">
        <f>COUNTIFS(調査票!$F$60:$F$69,"20歳未満",調査票!$G$60:$G$69,"非正規雇用")</f>
        <v>0</v>
      </c>
      <c r="EU6" s="334">
        <f>COUNTIFS(調査票!$F$60:$F$69,"20～29歳",調査票!$G$60:$G$69,"非正規雇用")</f>
        <v>0</v>
      </c>
      <c r="EV6" s="319">
        <f>COUNTIFS(調査票!$F$60:$F$69,"30～39歳",調査票!$G$60:$G$69,"非正規雇用")</f>
        <v>0</v>
      </c>
      <c r="EW6" s="319">
        <f>COUNTIFS(調査票!$F$60:$F$69,"40～49歳",調査票!$G$60:$G$69,"非正規雇用")</f>
        <v>0</v>
      </c>
      <c r="EX6" s="319">
        <f>COUNTIFS(調査票!$F$60:$F$69,"50～59歳",調査票!$G$60:$G$69,"非正規雇用")</f>
        <v>0</v>
      </c>
      <c r="EY6" s="320">
        <f>COUNTIFS(調査票!$F$60:$F$69,"60歳以上",調査票!$G$60:$G$69,"非正規雇用")</f>
        <v>0</v>
      </c>
      <c r="EZ6" s="321">
        <f>SUM(ET6:EY6)</f>
        <v>0</v>
      </c>
      <c r="FA6" s="333">
        <f>COUNTIF(調査票!$F$60:$F$69,"20歳未満")</f>
        <v>0</v>
      </c>
      <c r="FB6" s="334">
        <f>COUNTIF(調査票!$F$60:$F$69,"20～29歳")</f>
        <v>0</v>
      </c>
      <c r="FC6" s="319">
        <f>COUNTIF(調査票!$F$60:$F$69,"30～39歳")</f>
        <v>0</v>
      </c>
      <c r="FD6" s="319">
        <f>COUNTIF(調査票!$F$60:$F$69,"40～49歳")</f>
        <v>0</v>
      </c>
      <c r="FE6" s="319">
        <f>COUNTIF(調査票!$F$60:$F$69,"50～59歳")</f>
        <v>0</v>
      </c>
      <c r="FF6" s="320">
        <f>COUNTIF(調査票!$F$60:$F$69,"60歳以上")</f>
        <v>0</v>
      </c>
      <c r="FG6" s="321">
        <f>SUM(FA6:FF6)</f>
        <v>0</v>
      </c>
      <c r="FH6" s="324">
        <f>調査票!B78</f>
        <v>0</v>
      </c>
      <c r="FI6" s="324">
        <f>調査票!B79</f>
        <v>0</v>
      </c>
      <c r="FJ6" s="330">
        <f>COUNTIFS(調査票!$D$88:$D$97,"保健師",調査票!$G$88:$G$97,"正規雇用")</f>
        <v>0</v>
      </c>
      <c r="FK6" s="322">
        <f>COUNTIFS(調査票!$D$88:$D$97,"保健師",調査票!$G$88:$G$97,"正規雇用",調査票!$K$88:$K$97,"○")</f>
        <v>0</v>
      </c>
      <c r="FL6" s="326">
        <f>COUNTIFS(調査票!$D$88:$D$97,"助産師",調査票!$G$88:$G$97,"正規雇用")</f>
        <v>0</v>
      </c>
      <c r="FM6" s="322">
        <f>COUNTIFS(調査票!$D$88:$D$97,"助産師",調査票!$G$88:$G$97,"正規雇用",調査票!$K$88:$K$97,"○")</f>
        <v>0</v>
      </c>
      <c r="FN6" s="326">
        <f>COUNTIFS(調査票!$D$88:$D$97,"看護師",調査票!$G$88:$G$97,"正規雇用")</f>
        <v>0</v>
      </c>
      <c r="FO6" s="322">
        <f>COUNTIFS(調査票!$D$88:$D$97,"看護師",調査票!$G$88:$G$97,"正規雇用",調査票!$K$88:$K$97,"○")</f>
        <v>0</v>
      </c>
      <c r="FP6" s="326">
        <f>COUNTIFS(調査票!$D$88:$D$97,"准看護師",調査票!$G$88:$G$97,"正規雇用")</f>
        <v>0</v>
      </c>
      <c r="FQ6" s="332">
        <f>COUNTIFS(調査票!$D$88:$D$97,"准看護師",調査票!$G$88:$G$97,"正規雇用",調査票!$K$88:$K$97,"○")</f>
        <v>0</v>
      </c>
      <c r="FR6" s="327">
        <f>FJ6+FL6+FN6+FP6</f>
        <v>0</v>
      </c>
      <c r="FS6" s="322">
        <f>FK6+FM6+FO6+FQ6</f>
        <v>0</v>
      </c>
      <c r="FT6" s="330">
        <f>COUNTIFS(調査票!$D$88:$D$97,"保健師",調査票!$G$88:$G$97,"非正規雇用")</f>
        <v>0</v>
      </c>
      <c r="FU6" s="322">
        <f>COUNTIFS(調査票!$D$88:$D$97,"保健師",調査票!$G$88:$G$97,"非正規雇用",調査票!$K$88:$K$97,"○")</f>
        <v>0</v>
      </c>
      <c r="FV6" s="326">
        <f>COUNTIFS(調査票!$D$88:$D$97,"助産師",調査票!$G$88:$G$97,"非正規雇用")</f>
        <v>0</v>
      </c>
      <c r="FW6" s="322">
        <f>COUNTIFS(調査票!$D$88:$D$97,"助産師",調査票!$G$88:$G$97,"非正規雇用",調査票!$K$88:$K$97,"○")</f>
        <v>0</v>
      </c>
      <c r="FX6" s="326">
        <f>COUNTIFS(調査票!$D$88:$D$97,"看護師",調査票!$G$88:$G$97,"非正規雇用")</f>
        <v>0</v>
      </c>
      <c r="FY6" s="322">
        <f>COUNTIFS(調査票!$D$88:$D$97,"看護師",調査票!$G$88:$G$97,"非正規雇用",調査票!$K$88:$K$97,"○")</f>
        <v>0</v>
      </c>
      <c r="FZ6" s="326">
        <f>COUNTIFS(調査票!$D$88:$D$97,"准看護師",調査票!$G$88:$G$97,"非正規雇用")</f>
        <v>0</v>
      </c>
      <c r="GA6" s="332">
        <f>COUNTIFS(調査票!$D$88:$D$97,"准看護師",調査票!$G$88:$G$97,"非正規雇用",調査票!$K$88:$K$97,"○")</f>
        <v>0</v>
      </c>
      <c r="GB6" s="327">
        <f>FT6+FV6+FX6+FZ6</f>
        <v>0</v>
      </c>
      <c r="GC6" s="322">
        <f>FU6+FW6+FY6+GA6</f>
        <v>0</v>
      </c>
      <c r="GD6" s="330">
        <f>COUNTIFS(調査票!$D$88:$D$97,"保健師")</f>
        <v>0</v>
      </c>
      <c r="GE6" s="322">
        <f>COUNTIFS(調査票!$D$88:$D$97,"保健師",調査票!$K$88:$K$97,"○")</f>
        <v>0</v>
      </c>
      <c r="GF6" s="326">
        <f>COUNTIFS(調査票!$D$88:$D$97,"助産師")</f>
        <v>0</v>
      </c>
      <c r="GG6" s="322">
        <f>COUNTIFS(調査票!$D$88:$D$97,"助産師",調査票!$K$88:$K$97,"○")</f>
        <v>0</v>
      </c>
      <c r="GH6" s="326">
        <f>COUNTIFS(調査票!$D$88:$D$97,"看護師")</f>
        <v>0</v>
      </c>
      <c r="GI6" s="322">
        <f>COUNTIFS(調査票!$D$88:$D$97,"看護師",調査票!$K$88:$K$97,"○")</f>
        <v>0</v>
      </c>
      <c r="GJ6" s="326">
        <f>COUNTIFS(調査票!$D$88:$D$97,"准看護師")</f>
        <v>0</v>
      </c>
      <c r="GK6" s="332">
        <f>COUNTIFS(調査票!$D$88:$D$97,"准看護師",調査票!$K$88:$K$97,"○")</f>
        <v>0</v>
      </c>
      <c r="GL6" s="327">
        <f>GD6+GF6+GH6+GJ6</f>
        <v>0</v>
      </c>
      <c r="GM6" s="322">
        <f>GE6+GG6+GI6+GK6</f>
        <v>0</v>
      </c>
      <c r="GN6" s="319">
        <f>COUNTIFS(調査票!$G$88:$G$97,"正規雇用",調査票!$I$88:$I$97,"１年未満（新卒）")+COUNTIFS(調査票!$G$88:$G$97,"正規雇用",調査票!$I$88:$I$97,"１年未満（既卒）")</f>
        <v>0</v>
      </c>
      <c r="GO6" s="319">
        <f>COUNTIFS(調査票!$G$88:$G$97,"正規雇用",調査票!$I$88:$I$97,"1～5年")</f>
        <v>0</v>
      </c>
      <c r="GP6" s="319">
        <f>COUNTIFS(調査票!$G$88:$G$97,"正規雇用",調査票!$I$88:$I$97,"6～10年")</f>
        <v>0</v>
      </c>
      <c r="GQ6" s="319">
        <f>COUNTIFS(調査票!$G$88:$G$97,"正規雇用",調査票!$I$88:$I$97,"11～15年")</f>
        <v>0</v>
      </c>
      <c r="GR6" s="319">
        <f>COUNTIFS(調査票!$G$88:$G$97,"正規雇用",調査票!$I$88:$I$97,"16～20年")</f>
        <v>0</v>
      </c>
      <c r="GS6" s="320">
        <f>COUNTIFS(調査票!$G$88:$G$97,"正規雇用",調査票!$I$88:$I$97,"21年以上")</f>
        <v>0</v>
      </c>
      <c r="GT6" s="321">
        <f>SUM(GN6:GS6)</f>
        <v>0</v>
      </c>
      <c r="GU6" s="319">
        <f>COUNTIFS(調査票!$G$88:$G$97,"非正規雇用",調査票!$I$88:$I$97,"１年未満（新卒）")+COUNTIFS(調査票!$G$88:$G$97,"非正規雇用",調査票!$I$88:$I$97,"１年未満（既卒）")</f>
        <v>0</v>
      </c>
      <c r="GV6" s="319">
        <f>COUNTIFS(調査票!$G$88:$G$97,"非正規雇用",調査票!$I$88:$I$97,"1～5年")</f>
        <v>0</v>
      </c>
      <c r="GW6" s="319">
        <f>COUNTIFS(調査票!$G$88:$G$97,"非正規雇用",調査票!$I$88:$I$97,"6～10年")</f>
        <v>0</v>
      </c>
      <c r="GX6" s="319">
        <f>COUNTIFS(調査票!$G$88:$G$97,"非正規雇用",調査票!$I$88:$I$97,"11～15年")</f>
        <v>0</v>
      </c>
      <c r="GY6" s="319">
        <f>COUNTIFS(調査票!$G$88:$G$97,"非正規雇用",調査票!$I$88:$I$97,"16～20年")</f>
        <v>0</v>
      </c>
      <c r="GZ6" s="320">
        <f>COUNTIFS(調査票!$G$88:$G$97,"非正規雇用",調査票!$I$88:$I$97,"21年以上")</f>
        <v>0</v>
      </c>
      <c r="HA6" s="321">
        <f>SUM(GU6:GZ6)</f>
        <v>0</v>
      </c>
      <c r="HB6" s="319">
        <f>GN6+GU6</f>
        <v>0</v>
      </c>
      <c r="HC6" s="319">
        <f t="shared" ref="HC6:HH6" si="1">GO6+GV6</f>
        <v>0</v>
      </c>
      <c r="HD6" s="319">
        <f t="shared" si="1"/>
        <v>0</v>
      </c>
      <c r="HE6" s="319">
        <f t="shared" si="1"/>
        <v>0</v>
      </c>
      <c r="HF6" s="319">
        <f t="shared" si="1"/>
        <v>0</v>
      </c>
      <c r="HG6" s="320">
        <f t="shared" si="1"/>
        <v>0</v>
      </c>
      <c r="HH6" s="321">
        <f t="shared" si="1"/>
        <v>0</v>
      </c>
      <c r="HI6" s="319">
        <f>COUNTIFS(調査票!$F$88:$F$97,"20歳未満",調査票!$G$88:$G$97,"正規雇用")</f>
        <v>0</v>
      </c>
      <c r="HJ6" s="319">
        <f>COUNTIFS(調査票!$F$88:$F$97,"20～29歳",調査票!$G$88:$G$97,"正規雇用")</f>
        <v>0</v>
      </c>
      <c r="HK6" s="319">
        <f>COUNTIFS(調査票!$F$88:$F$97,"30～39歳",調査票!$G$88:$G$97,"正規雇用")</f>
        <v>0</v>
      </c>
      <c r="HL6" s="319">
        <f>COUNTIFS(調査票!$F$88:$F$97,"40～49歳",調査票!$G$88:$G$97,"正規雇用")</f>
        <v>0</v>
      </c>
      <c r="HM6" s="319">
        <f>COUNTIFS(調査票!$F$88:$F$97,"50～59歳",調査票!$G$88:$G$97,"正規雇用")</f>
        <v>0</v>
      </c>
      <c r="HN6" s="319">
        <f>COUNTIFS(調査票!$F$88:$F$97,"60歳以上",調査票!$G$88:$G$97,"正規雇用")</f>
        <v>0</v>
      </c>
      <c r="HO6" s="321">
        <f>SUM(HI6:HN6)</f>
        <v>0</v>
      </c>
      <c r="HP6" s="319">
        <f>COUNTIFS(調査票!$F$88:$F$97,"20歳未満",調査票!$G$88:$G$97,"非正規雇用")</f>
        <v>0</v>
      </c>
      <c r="HQ6" s="319">
        <f>COUNTIFS(調査票!$F$88:$F$97,"20～29歳",調査票!$G$88:$G$97,"非正規雇用")</f>
        <v>0</v>
      </c>
      <c r="HR6" s="319">
        <f>COUNTIFS(調査票!$F$88:$F$97,"30～39歳",調査票!$G$88:$G$97,"非正規雇用")</f>
        <v>0</v>
      </c>
      <c r="HS6" s="319">
        <f>COUNTIFS(調査票!$F$88:$F$97,"40～49歳",調査票!$G$88:$G$97,"非正規雇用")</f>
        <v>0</v>
      </c>
      <c r="HT6" s="319">
        <f>COUNTIFS(調査票!$F$88:$F$97,"50～59歳",調査票!$G$88:$G$97,"非正規雇用")</f>
        <v>0</v>
      </c>
      <c r="HU6" s="319">
        <f>COUNTIFS(調査票!$F$88:$F$97,"60歳以上",調査票!$G$88:$G$97,"非正規雇用")</f>
        <v>0</v>
      </c>
      <c r="HV6" s="321">
        <f>SUM(HP6:HU6)</f>
        <v>0</v>
      </c>
      <c r="HW6" s="319">
        <f>HI6+HP6</f>
        <v>0</v>
      </c>
      <c r="HX6" s="319">
        <f t="shared" ref="HX6:IC6" si="2">HJ6+HQ6</f>
        <v>0</v>
      </c>
      <c r="HY6" s="319">
        <f t="shared" si="2"/>
        <v>0</v>
      </c>
      <c r="HZ6" s="319">
        <f t="shared" si="2"/>
        <v>0</v>
      </c>
      <c r="IA6" s="319">
        <f t="shared" si="2"/>
        <v>0</v>
      </c>
      <c r="IB6" s="319">
        <f t="shared" si="2"/>
        <v>0</v>
      </c>
      <c r="IC6" s="321">
        <f t="shared" si="2"/>
        <v>0</v>
      </c>
      <c r="ID6" s="319">
        <f>COUNTIFS(調査票!$F$88:$F$97,"20歳未満",調査票!$G$88:$G$97,"正規雇用",調査票!$L$88:$L$97,"結婚")</f>
        <v>0</v>
      </c>
      <c r="IE6" s="319">
        <f>COUNTIFS(調査票!$F$88:$F$97,"20～29歳",調査票!$G$88:$G$97,"正規雇用",調査票!$L$88:$L$97,"結婚")</f>
        <v>0</v>
      </c>
      <c r="IF6" s="319">
        <f>COUNTIFS(調査票!$F$88:$F$97,"30～39歳",調査票!$G$88:$G$97,"正規雇用",調査票!$L$88:$L$97,"結婚")</f>
        <v>0</v>
      </c>
      <c r="IG6" s="319">
        <f>COUNTIFS(調査票!$F$88:$F$97,"40～49歳",調査票!$G$88:$G$97,"正規雇用",調査票!$L$88:$L$97,"結婚")</f>
        <v>0</v>
      </c>
      <c r="IH6" s="319">
        <f>COUNTIFS(調査票!$F$88:$F$97,"50～59歳",調査票!$G$88:$G$97,"正規雇用",調査票!$L$88:$L$97,"結婚")</f>
        <v>0</v>
      </c>
      <c r="II6" s="319">
        <f>COUNTIFS(調査票!$F$88:$F$97,"60歳以上",調査票!$G$88:$G$97,"正規雇用",調査票!$L$88:$L$97,"結婚")</f>
        <v>0</v>
      </c>
      <c r="IJ6" s="320">
        <f>COUNTIFS(調査票!$G$88:$G$97,"正規雇用",調査票!$I$88:$I$97,"１年未満（新卒）",調査票!$L$88:$L$97,"結婚")</f>
        <v>0</v>
      </c>
      <c r="IK6" s="321">
        <f>SUM(ID6:II6)</f>
        <v>0</v>
      </c>
      <c r="IL6" s="319">
        <f>COUNTIFS(調査票!$F$88:$F$97,"20歳未満",調査票!$G$88:$G$97,"正規雇用",調査票!$L$88:$L$97,"出産・育児")</f>
        <v>0</v>
      </c>
      <c r="IM6" s="319">
        <f>COUNTIFS(調査票!$F$88:$F$97,"20～29歳",調査票!$G$88:$G$97,"正規雇用",調査票!$L$88:$L$97,"出産・育児")</f>
        <v>0</v>
      </c>
      <c r="IN6" s="319">
        <f>COUNTIFS(調査票!$F$88:$F$97,"30～39歳",調査票!$G$88:$G$97,"正規雇用",調査票!$L$88:$L$97,"出産・育児")</f>
        <v>0</v>
      </c>
      <c r="IO6" s="319">
        <f>COUNTIFS(調査票!$F$88:$F$97,"40～49歳",調査票!$G$88:$G$97,"正規雇用",調査票!$L$88:$L$97,"出産・育児")</f>
        <v>0</v>
      </c>
      <c r="IP6" s="319">
        <f>COUNTIFS(調査票!$F$88:$F$97,"50～59歳",調査票!$G$88:$G$97,"正規雇用",調査票!$L$88:$L$97,"出産・育児")</f>
        <v>0</v>
      </c>
      <c r="IQ6" s="319">
        <f>COUNTIFS(調査票!$F$88:$F$97,"60歳以上",調査票!$G$88:$G$97,"正規雇用",調査票!$L$88:$L$97,"出産・育児")</f>
        <v>0</v>
      </c>
      <c r="IR6" s="319">
        <f>COUNTIFS(調査票!$G$88:$G$97,"正規雇用",調査票!$I$88:$I$97,"１年未満（新卒）",調査票!$L$88:$L$97,"出産・育児")</f>
        <v>0</v>
      </c>
      <c r="IS6" s="321">
        <f>SUM(IL6:IQ6)</f>
        <v>0</v>
      </c>
      <c r="IT6" s="319">
        <f>COUNTIFS(調査票!$F$88:$F$97,"20歳未満",調査票!$G$88:$G$97,"正規雇用",調査票!$L$88:$L$97,"健康上の理由（身体的）")</f>
        <v>0</v>
      </c>
      <c r="IU6" s="319">
        <f>COUNTIFS(調査票!$F$88:$F$97,"20～29歳",調査票!$G$88:$G$97,"正規雇用",調査票!$L$88:$L$97,"健康上の理由（身体的）")</f>
        <v>0</v>
      </c>
      <c r="IV6" s="319">
        <f>COUNTIFS(調査票!$F$88:$F$97,"30～39歳",調査票!$G$88:$G$97,"正規雇用",調査票!$L$88:$L$97,"健康上の理由（身体的）")</f>
        <v>0</v>
      </c>
      <c r="IW6" s="319">
        <f>COUNTIFS(調査票!$F$88:$F$97,"40～49歳",調査票!$G$88:$G$97,"正規雇用",調査票!$L$88:$L$97,"健康上の理由（身体的）")</f>
        <v>0</v>
      </c>
      <c r="IX6" s="319">
        <f>COUNTIFS(調査票!$F$88:$F$97,"50～59歳",調査票!$G$88:$G$97,"正規雇用",調査票!$L$88:$L$97,"健康上の理由（身体的）")</f>
        <v>0</v>
      </c>
      <c r="IY6" s="319">
        <f>COUNTIFS(調査票!$F$88:$F$97,"60歳以上",調査票!$G$88:$G$97,"正規雇用",調査票!$L$88:$L$97,"健康上の理由（身体的）")</f>
        <v>0</v>
      </c>
      <c r="IZ6" s="319">
        <f>COUNTIFS(調査票!$G$88:$G$97,"正規雇用",調査票!$I$88:$I$97,"１年未満（新卒）",調査票!$L$88:$L$97,"健康上の理由（身体的）")</f>
        <v>0</v>
      </c>
      <c r="JA6" s="321">
        <f>SUM(IT6:IY6)</f>
        <v>0</v>
      </c>
      <c r="JB6" s="319">
        <f>COUNTIFS(調査票!$F$88:$F$97,"20歳未満",調査票!$G$88:$G$97,"正規雇用",調査票!$L$88:$L$97,"健康上の理由（精神的）")</f>
        <v>0</v>
      </c>
      <c r="JC6" s="319">
        <f>COUNTIFS(調査票!$F$88:$F$97,"20～29歳",調査票!$G$88:$G$97,"正規雇用",調査票!$L$88:$L$97,"健康上の理由（精神的）")</f>
        <v>0</v>
      </c>
      <c r="JD6" s="319">
        <f>COUNTIFS(調査票!$F$88:$F$97,"30～39歳",調査票!$G$88:$G$97,"正規雇用",調査票!$L$88:$L$97,"健康上の理由（精神的）")</f>
        <v>0</v>
      </c>
      <c r="JE6" s="319">
        <f>COUNTIFS(調査票!$F$88:$F$97,"40～49歳",調査票!$G$88:$G$97,"正規雇用",調査票!$L$88:$L$97,"健康上の理由（精神的）")</f>
        <v>0</v>
      </c>
      <c r="JF6" s="319">
        <f>COUNTIFS(調査票!$F$88:$F$97,"50～59歳",調査票!$G$88:$G$97,"正規雇用",調査票!$L$88:$L$97,"健康上の理由（精神的）")</f>
        <v>0</v>
      </c>
      <c r="JG6" s="319">
        <f>COUNTIFS(調査票!$F$88:$F$97,"60歳以上",調査票!$G$88:$G$97,"正規雇用",調査票!$L$88:$L$97,"健康上の理由（精神的）")</f>
        <v>0</v>
      </c>
      <c r="JH6" s="319">
        <f>COUNTIFS(調査票!$G$88:$G$97,"正規雇用",調査票!$I$88:$I$97,"１年未満（新卒）",調査票!$L$88:$L$97,"健康上の理由（精神的）")</f>
        <v>0</v>
      </c>
      <c r="JI6" s="321">
        <f>SUM(JB6:JG6)</f>
        <v>0</v>
      </c>
      <c r="JJ6" s="319">
        <f>COUNTIFS(調査票!$F$88:$F$97,"20歳未満",調査票!$G$88:$G$97,"正規雇用",調査票!$L$88:$L$97,"親族の健康・介護")</f>
        <v>0</v>
      </c>
      <c r="JK6" s="319">
        <f>COUNTIFS(調査票!$F$88:$F$97,"20～29歳",調査票!$G$88:$G$97,"正規雇用",調査票!$L$88:$L$97,"親族の健康・介護")</f>
        <v>0</v>
      </c>
      <c r="JL6" s="319">
        <f>COUNTIFS(調査票!$F$88:$F$97,"30～39歳",調査票!$G$88:$G$97,"正規雇用",調査票!$L$88:$L$97,"親族の健康・介護")</f>
        <v>0</v>
      </c>
      <c r="JM6" s="319">
        <f>COUNTIFS(調査票!$F$88:$F$97,"40～49歳",調査票!$G$88:$G$97,"正規雇用",調査票!$L$88:$L$97,"親族の健康・介護")</f>
        <v>0</v>
      </c>
      <c r="JN6" s="319">
        <f>COUNTIFS(調査票!$F$88:$F$97,"50～59歳",調査票!$G$88:$G$97,"正規雇用",調査票!$L$88:$L$97,"親族の健康・介護")</f>
        <v>0</v>
      </c>
      <c r="JO6" s="319">
        <f>COUNTIFS(調査票!$F$88:$F$97,"60歳以上",調査票!$G$88:$G$97,"正規雇用",調査票!$L$88:$L$97,"親族の健康・介護")</f>
        <v>0</v>
      </c>
      <c r="JP6" s="320">
        <f>COUNTIFS(調査票!$G$88:$G$97,"正規雇用",調査票!$I$88:$I$97,"１年未満（新卒）",調査票!$L$88:$L$97,"親族の健康・介護")</f>
        <v>0</v>
      </c>
      <c r="JQ6" s="321">
        <f>SUM(JJ6:JO6)</f>
        <v>0</v>
      </c>
      <c r="JR6" s="335">
        <f>COUNTIFS(調査票!$F$88:$F$97,"20歳未満",調査票!$G$88:$G$97,"正規雇用",調査票!$L$88:$L$97,"転居")</f>
        <v>0</v>
      </c>
      <c r="JS6" s="319">
        <f>COUNTIFS(調査票!$F$88:$F$97,"20～29歳",調査票!$G$88:$G$97,"正規雇用",調査票!$L$88:$L$97,"転居")</f>
        <v>0</v>
      </c>
      <c r="JT6" s="319">
        <f>COUNTIFS(調査票!$F$88:$F$97,"30～39歳",調査票!$G$88:$G$97,"正規雇用",調査票!$L$88:$L$97,"転居")</f>
        <v>0</v>
      </c>
      <c r="JU6" s="319">
        <f>COUNTIFS(調査票!$F$88:$F$97,"40～49歳",調査票!$G$88:$G$97,"正規雇用",調査票!$L$88:$L$97,"転居")</f>
        <v>0</v>
      </c>
      <c r="JV6" s="319">
        <f>COUNTIFS(調査票!$F$88:$F$97,"50～59歳",調査票!$G$88:$G$97,"正規雇用",調査票!$L$88:$L$97,"転居")</f>
        <v>0</v>
      </c>
      <c r="JW6" s="319">
        <f>COUNTIFS(調査票!$F$88:$F$97,"60歳以上",調査票!$G$88:$G$97,"正規雇用",調査票!$L$88:$L$97,"転居")</f>
        <v>0</v>
      </c>
      <c r="JX6" s="320">
        <f>COUNTIFS(調査票!$G$88:$G$97,"正規雇用",調査票!$I$88:$I$97,"１年未満（新卒）",調査票!$L$88:$L$97,"転居")</f>
        <v>0</v>
      </c>
      <c r="JY6" s="321">
        <f>SUM(JR6:JW6)</f>
        <v>0</v>
      </c>
      <c r="JZ6" s="319">
        <f>COUNTIFS(調査票!$F$88:$F$97,"20歳未満",調査票!$G$88:$G$97,"正規雇用",調査票!$L$88:$L$97,"他の職場（看護職）への興味")</f>
        <v>0</v>
      </c>
      <c r="KA6" s="319">
        <f>COUNTIFS(調査票!$F$88:$F$97,"20～29歳",調査票!$G$88:$G$97,"正規雇用",調査票!$L$88:$L$97,"他の職場（看護職）への興味")</f>
        <v>0</v>
      </c>
      <c r="KB6" s="319">
        <f>COUNTIFS(調査票!$F$88:$F$97,"30～39歳",調査票!$G$88:$G$97,"正規雇用",調査票!$L$88:$L$97,"他の職場（看護職）への興味")</f>
        <v>0</v>
      </c>
      <c r="KC6" s="319">
        <f>COUNTIFS(調査票!$F$88:$F$97,"40～49歳",調査票!$G$88:$G$97,"正規雇用",調査票!$L$88:$L$97,"他の職場（看護職）への興味")</f>
        <v>0</v>
      </c>
      <c r="KD6" s="319">
        <f>COUNTIFS(調査票!$F$88:$F$97,"50～59歳",調査票!$G$88:$G$97,"正規雇用",調査票!$L$88:$L$97,"他の職場（看護職）への興味")</f>
        <v>0</v>
      </c>
      <c r="KE6" s="319">
        <f>COUNTIFS(調査票!$F$88:$F$97,"60歳以上",調査票!$G$88:$G$97,"正規雇用",調査票!$L$88:$L$97,"他の職場（看護職）への興味")</f>
        <v>0</v>
      </c>
      <c r="KF6" s="336">
        <f>COUNTIFS(調査票!$G$88:$G$97,"正規雇用",調査票!$I$88:$I$97,"１年未満（新卒）",調査票!$L$88:$L$97,"他の職場（看護職）への興味")</f>
        <v>0</v>
      </c>
      <c r="KG6" s="322">
        <f>SUM(JZ6:KE6)</f>
        <v>0</v>
      </c>
      <c r="KH6" s="319">
        <f>COUNTIFS(調査票!$F$88:$F$97,"20歳未満",調査票!$G$88:$G$97,"正規雇用",調査票!$L$88:$L$97,"他職種への興味")</f>
        <v>0</v>
      </c>
      <c r="KI6" s="319">
        <f>COUNTIFS(調査票!$F$88:$F$97,"20～29歳",調査票!$G$88:$G$97,"正規雇用",調査票!$L$88:$L$97,"他職種への興味")</f>
        <v>0</v>
      </c>
      <c r="KJ6" s="319">
        <f>COUNTIFS(調査票!$F$88:$F$97,"30～39歳",調査票!$G$88:$G$97,"正規雇用",調査票!$L$88:$L$97,"他職種への興味")</f>
        <v>0</v>
      </c>
      <c r="KK6" s="319">
        <f>COUNTIFS(調査票!$F$88:$F$97,"40～49歳",調査票!$G$88:$G$97,"正規雇用",調査票!$L$88:$L$97,"他職種への興味")</f>
        <v>0</v>
      </c>
      <c r="KL6" s="319">
        <f>COUNTIFS(調査票!$F$88:$F$97,"50～59歳",調査票!$G$88:$G$97,"正規雇用",調査票!$L$88:$L$97,"他職種への興味")</f>
        <v>0</v>
      </c>
      <c r="KM6" s="319">
        <f>COUNTIFS(調査票!$F$88:$F$97,"60歳以上",調査票!$G$88:$G$97,"正規雇用",調査票!$L$88:$L$97,"他職種への興味")</f>
        <v>0</v>
      </c>
      <c r="KN6" s="320">
        <f>COUNTIFS(調査票!$G$88:$G$97,"正規雇用",調査票!$I$88:$I$97,"１年未満（新卒）",調査票!$L$88:$L$97,"他職種への興味")</f>
        <v>0</v>
      </c>
      <c r="KO6" s="321">
        <f>SUM(KH6:KM6)</f>
        <v>0</v>
      </c>
      <c r="KP6" s="319">
        <f>COUNTIFS(調査票!$F$88:$F$97,"20歳未満",調査票!$G$88:$G$97,"正規雇用",調査票!$L$88:$L$97,"キャリアアップ目的（進学・資格取得等）")</f>
        <v>0</v>
      </c>
      <c r="KQ6" s="319">
        <f>COUNTIFS(調査票!$F$88:$F$97,"20～29歳",調査票!$G$88:$G$97,"正規雇用",調査票!$L$88:$L$97,"キャリアアップ目的（進学・資格取得等）")</f>
        <v>0</v>
      </c>
      <c r="KR6" s="319">
        <f>COUNTIFS(調査票!$F$88:$F$97,"30～39歳",調査票!$G$88:$G$97,"正規雇用",調査票!$L$88:$L$97,"キャリアアップ目的（進学・資格取得等）")</f>
        <v>0</v>
      </c>
      <c r="KS6" s="319">
        <f>COUNTIFS(調査票!$F$88:$F$97,"40～49歳",調査票!$G$88:$G$97,"正規雇用",調査票!$L$88:$L$97,"キャリアアップ目的（進学・資格取得等）")</f>
        <v>0</v>
      </c>
      <c r="KT6" s="319">
        <f>COUNTIFS(調査票!$F$88:$F$97,"50～59歳",調査票!$G$88:$G$97,"正規雇用",調査票!$L$88:$L$97,"キャリアアップ目的（進学・資格取得等）")</f>
        <v>0</v>
      </c>
      <c r="KU6" s="319">
        <f>COUNTIFS(調査票!$F$88:$F$97,"60歳以上",調査票!$G$88:$G$97,"正規雇用",調査票!$L$88:$L$97,"キャリアアップ目的（進学・資格取得等）")</f>
        <v>0</v>
      </c>
      <c r="KV6" s="320">
        <f>COUNTIFS(調査票!$G$88:$G$97,"正規雇用",調査票!$I$88:$I$97,"１年未満（新卒）",調査票!$L$88:$L$97,"キャリアアップ目的（進学・資格取得等）")</f>
        <v>0</v>
      </c>
      <c r="KW6" s="321">
        <f>SUM(KP6:KU6)</f>
        <v>0</v>
      </c>
      <c r="KX6" s="319">
        <f>COUNTIFS(調査票!$F$88:$F$97,"20歳未満",調査票!$G$88:$G$97,"正規雇用",調査票!$L$88:$L$97,"給与についての不満")</f>
        <v>0</v>
      </c>
      <c r="KY6" s="319">
        <f>COUNTIFS(調査票!$F$88:$F$97,"20～29歳",調査票!$G$88:$G$97,"正規雇用",調査票!$L$88:$L$97,"給与についての不満")</f>
        <v>0</v>
      </c>
      <c r="KZ6" s="319">
        <f>COUNTIFS(調査票!$F$88:$F$97,"30～39歳",調査票!$G$88:$G$97,"正規雇用",調査票!$L$88:$L$97,"給与についての不満")</f>
        <v>0</v>
      </c>
      <c r="LA6" s="319">
        <f>COUNTIFS(調査票!$F$88:$F$97,"40～49歳",調査票!$G$88:$G$97,"正規雇用",調査票!$L$88:$L$97,"給与についての不満")</f>
        <v>0</v>
      </c>
      <c r="LB6" s="319">
        <f>COUNTIFS(調査票!$F$88:$F$97,"50～59歳",調査票!$G$88:$G$97,"正規雇用",調査票!$L$88:$L$97,"給与についての不満")</f>
        <v>0</v>
      </c>
      <c r="LC6" s="319">
        <f>COUNTIFS(調査票!$F$88:$F$97,"60歳以上",調査票!$G$88:$G$97,"正規雇用",調査票!$L$88:$L$97,"給与についての不満")</f>
        <v>0</v>
      </c>
      <c r="LD6" s="320">
        <f>COUNTIFS(調査票!$G$88:$G$97,"正規雇用",調査票!$I$88:$I$97,"１年未満（新卒）",調査票!$L$88:$L$97,"給与についての不満")</f>
        <v>0</v>
      </c>
      <c r="LE6" s="321">
        <f>SUM(KX6:LC6)</f>
        <v>0</v>
      </c>
      <c r="LF6" s="319">
        <f>COUNTIFS(調査票!$F$88:$F$97,"20歳未満",調査票!$G$88:$G$97,"正規雇用",調査票!$L$88:$L$97,"休暇についての不満")</f>
        <v>0</v>
      </c>
      <c r="LG6" s="319">
        <f>COUNTIFS(調査票!$F$88:$F$97,"20～29歳",調査票!$G$88:$G$97,"正規雇用",調査票!$L$88:$L$97,"休暇についての不満")</f>
        <v>0</v>
      </c>
      <c r="LH6" s="319">
        <f>COUNTIFS(調査票!$F$88:$F$97,"30～39歳",調査票!$G$88:$G$97,"正規雇用",調査票!$L$88:$L$97,"休暇についての不満")</f>
        <v>0</v>
      </c>
      <c r="LI6" s="319">
        <f>COUNTIFS(調査票!$F$88:$F$97,"40～49歳",調査票!$G$88:$G$97,"正規雇用",調査票!$L$88:$L$97,"休暇についての不満")</f>
        <v>0</v>
      </c>
      <c r="LJ6" s="319">
        <f>COUNTIFS(調査票!$F$88:$F$97,"50～59歳",調査票!$G$88:$G$97,"正規雇用",調査票!$L$88:$L$97,"休暇についての不満")</f>
        <v>0</v>
      </c>
      <c r="LK6" s="319">
        <f>COUNTIFS(調査票!$F$88:$F$97,"60歳以上",調査票!$G$88:$G$97,"正規雇用",調査票!$L$88:$L$97,"休暇についての不満")</f>
        <v>0</v>
      </c>
      <c r="LL6" s="320">
        <f>COUNTIFS(調査票!$G$88:$G$97,"正規雇用",調査票!$I$88:$I$97,"１年未満（新卒）",調査票!$L$88:$L$97,"休暇についての不満")</f>
        <v>0</v>
      </c>
      <c r="LM6" s="321">
        <f>SUM(LF6:LK6)</f>
        <v>0</v>
      </c>
      <c r="LN6" s="319">
        <f>COUNTIFS(調査票!$F$88:$F$97,"20歳未満",調査票!$G$88:$G$97,"正規雇用",調査票!$L$88:$L$97,"超過勤務、夜勤の負担")</f>
        <v>0</v>
      </c>
      <c r="LO6" s="319">
        <f>COUNTIFS(調査票!$F$88:$F$97,"20～29歳",調査票!$G$88:$G$97,"正規雇用",調査票!$L$88:$L$97,"超過勤務、夜勤の負担")</f>
        <v>0</v>
      </c>
      <c r="LP6" s="319">
        <f>COUNTIFS(調査票!$F$88:$F$97,"30～39歳",調査票!$G$88:$G$97,"正規雇用",調査票!$L$88:$L$97,"超過勤務、夜勤の負担")</f>
        <v>0</v>
      </c>
      <c r="LQ6" s="319">
        <f>COUNTIFS(調査票!$F$88:$F$97,"40～49歳",調査票!$G$88:$G$97,"正規雇用",調査票!$L$88:$L$97,"超過勤務、夜勤の負担")</f>
        <v>0</v>
      </c>
      <c r="LR6" s="319">
        <f>COUNTIFS(調査票!$F$88:$F$97,"50～59歳",調査票!$G$88:$G$97,"正規雇用",調査票!$L$88:$L$97,"超過勤務、夜勤の負担")</f>
        <v>0</v>
      </c>
      <c r="LS6" s="319">
        <f>COUNTIFS(調査票!$F$88:$F$97,"60歳以上",調査票!$G$88:$G$97,"正規雇用",調査票!$L$88:$L$97,"超過勤務、夜勤の負担")</f>
        <v>0</v>
      </c>
      <c r="LT6" s="320">
        <f>COUNTIFS(調査票!$G$88:$G$97,"正規雇用",調査票!$I$88:$I$97,"１年未満（新卒）",調査票!$L$88:$L$97,"超過勤務、夜勤の負担")</f>
        <v>0</v>
      </c>
      <c r="LU6" s="321">
        <f>SUM(LN6:LS6)</f>
        <v>0</v>
      </c>
      <c r="LV6" s="319">
        <f>COUNTIFS(調査票!$F$88:$F$97,"20歳未満",調査票!$G$88:$G$97,"正規雇用",調査票!$L$88:$L$97,"人間関係の悩み")</f>
        <v>0</v>
      </c>
      <c r="LW6" s="319">
        <f>COUNTIFS(調査票!$F$88:$F$97,"20～29歳",調査票!$G$88:$G$97,"正規雇用",調査票!$L$88:$L$97,"人間関係の悩み")</f>
        <v>0</v>
      </c>
      <c r="LX6" s="319">
        <f>COUNTIFS(調査票!$F$88:$F$97,"30～39歳",調査票!$G$88:$G$97,"正規雇用",調査票!$L$88:$L$97,"人間関係の悩み")</f>
        <v>0</v>
      </c>
      <c r="LY6" s="319">
        <f>COUNTIFS(調査票!$F$88:$F$97,"40～49歳",調査票!$G$88:$G$97,"正規雇用",調査票!$L$88:$L$97,"人間関係の悩み")</f>
        <v>0</v>
      </c>
      <c r="LZ6" s="319">
        <f>COUNTIFS(調査票!$F$88:$F$97,"50～59歳",調査票!$G$88:$G$97,"正規雇用",調査票!$L$88:$L$97,"人間関係の悩み")</f>
        <v>0</v>
      </c>
      <c r="MA6" s="319">
        <f>COUNTIFS(調査票!$F$88:$F$97,"60歳以上",調査票!$G$88:$G$97,"正規雇用",調査票!$L$88:$L$97,"人間関係の悩み")</f>
        <v>0</v>
      </c>
      <c r="MB6" s="320">
        <f>COUNTIFS(調査票!$G$88:$G$97,"正規雇用",調査票!$I$88:$I$97,"１年未満（新卒）",調査票!$L$88:$L$97,"人間関係の悩み")</f>
        <v>0</v>
      </c>
      <c r="MC6" s="321">
        <f>SUM(LV6:MA6)</f>
        <v>0</v>
      </c>
      <c r="MD6" s="319">
        <f>COUNTIFS(調査票!$F$88:$F$97,"20歳未満",調査票!$G$88:$G$97,"正規雇用",調査票!$L$88:$L$97,"自分の適性※1への不安")</f>
        <v>0</v>
      </c>
      <c r="ME6" s="319">
        <f>COUNTIFS(調査票!$F$88:$F$97,"20～29歳",調査票!$G$88:$G$97,"正規雇用",調査票!$L$88:$L$97,"自分の適性※1への不安")</f>
        <v>0</v>
      </c>
      <c r="MF6" s="319">
        <f>COUNTIFS(調査票!$F$88:$F$97,"30～39歳",調査票!$G$88:$G$97,"正規雇用",調査票!$L$88:$L$97,"自分の適性※1への不安")</f>
        <v>0</v>
      </c>
      <c r="MG6" s="319">
        <f>COUNTIFS(調査票!$F$88:$F$97,"40～49歳",調査票!$G$88:$G$97,"正規雇用",調査票!$L$88:$L$97,"自分の適性※1への不安")</f>
        <v>0</v>
      </c>
      <c r="MH6" s="319">
        <f>COUNTIFS(調査票!$F$88:$F$97,"50～59歳",調査票!$G$88:$G$97,"正規雇用",調査票!$L$88:$L$97,"自分の適性※1への不安")</f>
        <v>0</v>
      </c>
      <c r="MI6" s="319">
        <f>COUNTIFS(調査票!$F$88:$F$97,"60歳以上",調査票!$G$88:$G$97,"正規雇用",調査票!$L$88:$L$97,"自分の適性※1への不安")</f>
        <v>0</v>
      </c>
      <c r="MJ6" s="320">
        <f>COUNTIFS(調査票!$G$88:$G$97,"正規雇用",調査票!$I$88:$I$97,"１年未満（新卒）",調査票!$L$88:$L$97,"自分の適性※1への不安")</f>
        <v>0</v>
      </c>
      <c r="MK6" s="321">
        <f>SUM(MD6:MI6)</f>
        <v>0</v>
      </c>
      <c r="ML6" s="319">
        <f>COUNTIFS(調査票!$F$88:$F$97,"20歳未満",調査票!$G$88:$G$97,"正規雇用",調査票!$L$88:$L$97,"自分の能力※2への不安")</f>
        <v>0</v>
      </c>
      <c r="MM6" s="319">
        <f>COUNTIFS(調査票!$F$88:$F$97,"20～29歳",調査票!$G$88:$G$97,"正規雇用",調査票!$L$88:$L$97,"自分の能力※2への不安")</f>
        <v>0</v>
      </c>
      <c r="MN6" s="319">
        <f>COUNTIFS(調査票!$F$88:$F$97,"30～39歳",調査票!$G$88:$G$97,"正規雇用",調査票!$L$88:$L$97,"自分の能力※2への不安")</f>
        <v>0</v>
      </c>
      <c r="MO6" s="319">
        <f>COUNTIFS(調査票!$F$88:$F$97,"40～49歳",調査票!$G$88:$G$97,"正規雇用",調査票!$L$88:$L$97,"自分の能力※2への不安")</f>
        <v>0</v>
      </c>
      <c r="MP6" s="319">
        <f>COUNTIFS(調査票!$F$88:$F$97,"50～59歳",調査票!$G$88:$G$97,"正規雇用",調査票!$L$88:$L$97,"自分の能力※2への不安")</f>
        <v>0</v>
      </c>
      <c r="MQ6" s="319">
        <f>COUNTIFS(調査票!$F$88:$F$97,"60歳以上",調査票!$G$88:$G$97,"正規雇用",調査票!$L$88:$L$97,"自分の能力※2への不安")</f>
        <v>0</v>
      </c>
      <c r="MR6" s="320">
        <f>COUNTIFS(調査票!$G$88:$G$97,"正規雇用",調査票!$I$88:$I$97,"１年未満（新卒）",調査票!$L$88:$L$97,"自分の能力※2への不安")</f>
        <v>0</v>
      </c>
      <c r="MS6" s="321">
        <f>SUM(ML6:MQ6)</f>
        <v>0</v>
      </c>
      <c r="MT6" s="319">
        <f>COUNTIFS(調査票!$F$88:$F$97,"20歳未満",調査票!$G$88:$G$97,"正規雇用",調査票!$L$88:$L$97,"医療事故や責任の重さへの不安")</f>
        <v>0</v>
      </c>
      <c r="MU6" s="319">
        <f>COUNTIFS(調査票!$F$88:$F$97,"20～29歳",調査票!$G$88:$G$97,"正規雇用",調査票!$L$88:$L$97,"医療事故や責任の重さへの不安")</f>
        <v>0</v>
      </c>
      <c r="MV6" s="319">
        <f>COUNTIFS(調査票!$F$88:$F$97,"30～39歳",調査票!$G$88:$G$97,"正規雇用",調査票!$L$88:$L$97,"医療事故や責任の重さへの不安")</f>
        <v>0</v>
      </c>
      <c r="MW6" s="319">
        <f>COUNTIFS(調査票!$F$88:$F$97,"40～49歳",調査票!$G$88:$G$97,"正規雇用",調査票!$L$88:$L$97,"医療事故や責任の重さへの不安")</f>
        <v>0</v>
      </c>
      <c r="MX6" s="319">
        <f>COUNTIFS(調査票!$F$88:$F$97,"50～59歳",調査票!$G$88:$G$97,"正規雇用",調査票!$L$88:$L$97,"医療事故や責任の重さへの不安")</f>
        <v>0</v>
      </c>
      <c r="MY6" s="319">
        <f>COUNTIFS(調査票!$F$88:$F$97,"60歳以上",調査票!$G$88:$G$97,"正規雇用",調査票!$L$88:$L$97,"医療事故や責任の重さへの不安")</f>
        <v>0</v>
      </c>
      <c r="MZ6" s="320">
        <f>COUNTIFS(調査票!$G$88:$G$97,"正規雇用",調査票!$I$88:$I$97,"１年未満（新卒）",調査票!$L$88:$L$97,"医療事故や責任の重さへの不安")</f>
        <v>0</v>
      </c>
      <c r="NA6" s="321">
        <f>SUM(MT6:MY6)</f>
        <v>0</v>
      </c>
      <c r="NB6" s="319">
        <f>COUNTIFS(調査票!$F$88:$F$97,"20歳未満",調査票!$G$88:$G$97,"正規雇用",調査票!$L$88:$L$97,"その他")</f>
        <v>0</v>
      </c>
      <c r="NC6" s="319">
        <f>COUNTIFS(調査票!$F$88:$F$97,"20～29歳",調査票!$G$88:$G$97,"正規雇用",調査票!$L$88:$L$97,"その他")</f>
        <v>0</v>
      </c>
      <c r="ND6" s="319">
        <f>COUNTIFS(調査票!$F$88:$F$97,"30～39歳",調査票!$G$88:$G$97,"正規雇用",調査票!$L$88:$L$97,"その他")</f>
        <v>0</v>
      </c>
      <c r="NE6" s="319">
        <f>COUNTIFS(調査票!$F$88:$F$97,"40～49歳",調査票!$G$88:$G$97,"正規雇用",調査票!$L$88:$L$97,"その他")</f>
        <v>0</v>
      </c>
      <c r="NF6" s="319">
        <f>COUNTIFS(調査票!$F$88:$F$97,"50～59歳",調査票!$G$88:$G$97,"正規雇用",調査票!$L$88:$L$97,"その他")</f>
        <v>0</v>
      </c>
      <c r="NG6" s="319">
        <f>COUNTIFS(調査票!$F$88:$F$97,"60歳以上",調査票!$G$88:$G$97,"正規雇用",調査票!$L$88:$L$97,"その他")</f>
        <v>0</v>
      </c>
      <c r="NH6" s="336">
        <f>COUNTIFS(調査票!$G$88:$G$97,"正規雇用",調査票!$I$88:$I$97,"１年未満（新卒）",調査票!$L$88:$L$97,"その他")</f>
        <v>0</v>
      </c>
      <c r="NI6" s="321">
        <f>SUM(NB6:NG6)</f>
        <v>0</v>
      </c>
      <c r="NJ6" s="319">
        <f>COUNTIFS(調査票!$F$88:$F$97,"20歳未満",調査票!$G$88:$G$97,"非正規雇用",調査票!$L$88:$L$97,"結婚")</f>
        <v>0</v>
      </c>
      <c r="NK6" s="319">
        <f>COUNTIFS(調査票!$F$88:$F$97,"20～29歳",調査票!$G$88:$G$97,"非正規雇用",調査票!$L$88:$L$97,"結婚")</f>
        <v>0</v>
      </c>
      <c r="NL6" s="319">
        <f>COUNTIFS(調査票!$F$88:$F$97,"30～39歳",調査票!$G$88:$G$97,"非正規雇用",調査票!$L$88:$L$97,"結婚")</f>
        <v>0</v>
      </c>
      <c r="NM6" s="319">
        <f>COUNTIFS(調査票!$F$88:$F$97,"40～49歳",調査票!$G$88:$G$97,"非正規雇用",調査票!$L$88:$L$97,"結婚")</f>
        <v>0</v>
      </c>
      <c r="NN6" s="319">
        <f>COUNTIFS(調査票!$F$88:$F$97,"50～59歳",調査票!$G$88:$G$97,"非正規雇用",調査票!$L$88:$L$97,"結婚")</f>
        <v>0</v>
      </c>
      <c r="NO6" s="319">
        <f>COUNTIFS(調査票!$F$88:$F$97,"60歳以上",調査票!$G$88:$G$97,"非正規雇用",調査票!$L$88:$L$97,"結婚")</f>
        <v>0</v>
      </c>
      <c r="NP6" s="320">
        <f>COUNTIFS(調査票!$G$88:$G$97,"非正規雇用",調査票!$I$88:$I$97,"１年未満（新卒）",調査票!$L$88:$L$97,"結婚")</f>
        <v>0</v>
      </c>
      <c r="NQ6" s="321">
        <f>SUM(NJ6:NO6)</f>
        <v>0</v>
      </c>
      <c r="NR6" s="319">
        <f>COUNTIFS(調査票!$F$88:$F$97,"20歳未満",調査票!$G$88:$G$97,"非正規雇用",調査票!$L$88:$L$97,"出産・育児")</f>
        <v>0</v>
      </c>
      <c r="NS6" s="319">
        <f>COUNTIFS(調査票!$F$88:$F$97,"20～29歳",調査票!$G$88:$G$97,"非正規雇用",調査票!$L$88:$L$97,"出産・育児")</f>
        <v>0</v>
      </c>
      <c r="NT6" s="319">
        <f>COUNTIFS(調査票!$F$88:$F$97,"30～39歳",調査票!$G$88:$G$97,"非正規雇用",調査票!$L$88:$L$97,"出産・育児")</f>
        <v>0</v>
      </c>
      <c r="NU6" s="319">
        <f>COUNTIFS(調査票!$F$88:$F$97,"40～49歳",調査票!$G$88:$G$97,"非正規雇用",調査票!$L$88:$L$97,"出産・育児")</f>
        <v>0</v>
      </c>
      <c r="NV6" s="319">
        <f>COUNTIFS(調査票!$F$88:$F$97,"50～59歳",調査票!$G$88:$G$97,"非正規雇用",調査票!$L$88:$L$97,"出産・育児")</f>
        <v>0</v>
      </c>
      <c r="NW6" s="319">
        <f>COUNTIFS(調査票!$F$88:$F$97,"60歳以上",調査票!$G$88:$G$97,"非正規雇用",調査票!$L$88:$L$97,"出産・育児")</f>
        <v>0</v>
      </c>
      <c r="NX6" s="319">
        <f>COUNTIFS(調査票!$G$88:$G$97,"非正規雇用",調査票!$I$88:$I$97,"１年未満（新卒）",調査票!$L$88:$L$97,"出産・育児")</f>
        <v>0</v>
      </c>
      <c r="NY6" s="321">
        <f>SUM(NR6:NW6)</f>
        <v>0</v>
      </c>
      <c r="NZ6" s="319">
        <f>COUNTIFS(調査票!$F$88:$F$97,"20歳未満",調査票!$G$88:$G$97,"非正規雇用",調査票!$L$88:$L$97,"健康上の理由（身体的）")</f>
        <v>0</v>
      </c>
      <c r="OA6" s="319">
        <f>COUNTIFS(調査票!$F$88:$F$97,"20～29歳",調査票!$G$88:$G$97,"非正規雇用",調査票!$L$88:$L$97,"健康上の理由（身体的）")</f>
        <v>0</v>
      </c>
      <c r="OB6" s="319">
        <f>COUNTIFS(調査票!$F$88:$F$97,"30～39歳",調査票!$G$88:$G$97,"非正規雇用",調査票!$L$88:$L$97,"健康上の理由（身体的）")</f>
        <v>0</v>
      </c>
      <c r="OC6" s="319">
        <f>COUNTIFS(調査票!$F$88:$F$97,"40～49歳",調査票!$G$88:$G$97,"非正規雇用",調査票!$L$88:$L$97,"健康上の理由（身体的）")</f>
        <v>0</v>
      </c>
      <c r="OD6" s="319">
        <f>COUNTIFS(調査票!$F$88:$F$97,"50～59歳",調査票!$G$88:$G$97,"非正規雇用",調査票!$L$88:$L$97,"健康上の理由（身体的）")</f>
        <v>0</v>
      </c>
      <c r="OE6" s="319">
        <f>COUNTIFS(調査票!$F$88:$F$97,"60歳以上",調査票!$G$88:$G$97,"非正規雇用",調査票!$L$88:$L$97,"健康上の理由（身体的）")</f>
        <v>0</v>
      </c>
      <c r="OF6" s="319">
        <f>COUNTIFS(調査票!$G$88:$G$97,"非正規雇用",調査票!$I$88:$I$97,"１年未満（新卒）",調査票!$L$88:$L$97,"健康上の理由（身体的）")</f>
        <v>0</v>
      </c>
      <c r="OG6" s="321">
        <f>SUM(NZ6:OE6)</f>
        <v>0</v>
      </c>
      <c r="OH6" s="319">
        <f>COUNTIFS(調査票!$F$88:$F$97,"20歳未満",調査票!$G$88:$G$97,"非正規雇用",調査票!$L$88:$L$97,"健康上の理由（精神的）")</f>
        <v>0</v>
      </c>
      <c r="OI6" s="319">
        <f>COUNTIFS(調査票!$F$88:$F$97,"20～29歳",調査票!$G$88:$G$97,"非正規雇用",調査票!$L$88:$L$97,"健康上の理由（精神的）")</f>
        <v>0</v>
      </c>
      <c r="OJ6" s="319">
        <f>COUNTIFS(調査票!$F$88:$F$97,"30～39歳",調査票!$G$88:$G$97,"非正規雇用",調査票!$L$88:$L$97,"健康上の理由（精神的）")</f>
        <v>0</v>
      </c>
      <c r="OK6" s="319">
        <f>COUNTIFS(調査票!$F$88:$F$97,"40～49歳",調査票!$G$88:$G$97,"非正規雇用",調査票!$L$88:$L$97,"健康上の理由（精神的）")</f>
        <v>0</v>
      </c>
      <c r="OL6" s="319">
        <f>COUNTIFS(調査票!$F$88:$F$97,"50～59歳",調査票!$G$88:$G$97,"非正規雇用",調査票!$L$88:$L$97,"健康上の理由（精神的）")</f>
        <v>0</v>
      </c>
      <c r="OM6" s="319">
        <f>COUNTIFS(調査票!$F$88:$F$97,"60歳以上",調査票!$G$88:$G$97,"非正規雇用",調査票!$L$88:$L$97,"健康上の理由（精神的）")</f>
        <v>0</v>
      </c>
      <c r="ON6" s="319">
        <f>COUNTIFS(調査票!$G$88:$G$97,"非正規雇用",調査票!$I$88:$I$97,"１年未満（新卒）",調査票!$L$88:$L$97,"健康上の理由（精神的）")</f>
        <v>0</v>
      </c>
      <c r="OO6" s="321">
        <f>SUM(OH6:OM6)</f>
        <v>0</v>
      </c>
      <c r="OP6" s="319">
        <f>COUNTIFS(調査票!$F$88:$F$97,"20歳未満",調査票!$G$88:$G$97,"非正規雇用",調査票!$L$88:$L$97,"親族の健康・介護")</f>
        <v>0</v>
      </c>
      <c r="OQ6" s="319">
        <f>COUNTIFS(調査票!$F$88:$F$97,"20～29歳",調査票!$G$88:$G$97,"非正規雇用",調査票!$L$88:$L$97,"親族の健康・介護")</f>
        <v>0</v>
      </c>
      <c r="OR6" s="319">
        <f>COUNTIFS(調査票!$F$88:$F$97,"30～39歳",調査票!$G$88:$G$97,"非正規雇用",調査票!$L$88:$L$97,"親族の健康・介護")</f>
        <v>0</v>
      </c>
      <c r="OS6" s="319">
        <f>COUNTIFS(調査票!$F$88:$F$97,"40～49歳",調査票!$G$88:$G$97,"非正規雇用",調査票!$L$88:$L$97,"親族の健康・介護")</f>
        <v>0</v>
      </c>
      <c r="OT6" s="319">
        <f>COUNTIFS(調査票!$F$88:$F$97,"50～59歳",調査票!$G$88:$G$97,"非正規雇用",調査票!$L$88:$L$97,"親族の健康・介護")</f>
        <v>0</v>
      </c>
      <c r="OU6" s="319">
        <f>COUNTIFS(調査票!$F$88:$F$97,"60歳以上",調査票!$G$88:$G$97,"非正規雇用",調査票!$L$88:$L$97,"親族の健康・介護")</f>
        <v>0</v>
      </c>
      <c r="OV6" s="320">
        <f>COUNTIFS(調査票!$G$88:$G$97,"非正規雇用",調査票!$I$88:$I$97,"１年未満（新卒）",調査票!$L$88:$L$97,"親族の健康・介護")</f>
        <v>0</v>
      </c>
      <c r="OW6" s="321">
        <f>SUM(OP6:OU6)</f>
        <v>0</v>
      </c>
      <c r="OX6" s="319">
        <f>COUNTIFS(調査票!$F$88:$F$97,"20歳未満",調査票!$G$88:$G$97,"非正規雇用",調査票!$L$88:$L$97,"転居")</f>
        <v>0</v>
      </c>
      <c r="OY6" s="319">
        <f>COUNTIFS(調査票!$F$88:$F$97,"20～29歳",調査票!$G$88:$G$97,"非正規雇用",調査票!$L$88:$L$97,"転居")</f>
        <v>0</v>
      </c>
      <c r="OZ6" s="319">
        <f>COUNTIFS(調査票!$F$88:$F$97,"30～39歳",調査票!$G$88:$G$97,"非正規雇用",調査票!$L$88:$L$97,"転居")</f>
        <v>0</v>
      </c>
      <c r="PA6" s="319">
        <f>COUNTIFS(調査票!$F$88:$F$97,"40～49歳",調査票!$G$88:$G$97,"非正規雇用",調査票!$L$88:$L$97,"転居")</f>
        <v>0</v>
      </c>
      <c r="PB6" s="319">
        <f>COUNTIFS(調査票!$F$88:$F$97,"50～59歳",調査票!$G$88:$G$97,"非正規雇用",調査票!$L$88:$L$97,"転居")</f>
        <v>0</v>
      </c>
      <c r="PC6" s="319">
        <f>COUNTIFS(調査票!$F$88:$F$97,"60歳以上",調査票!$G$88:$G$97,"非正規雇用",調査票!$L$88:$L$97,"転居")</f>
        <v>0</v>
      </c>
      <c r="PD6" s="320">
        <f>COUNTIFS(調査票!$G$88:$G$97,"非正規雇用",調査票!$I$88:$I$97,"１年未満（新卒）",調査票!$L$88:$L$97,"転居")</f>
        <v>0</v>
      </c>
      <c r="PE6" s="321">
        <f>SUM(OX6:PC6)</f>
        <v>0</v>
      </c>
      <c r="PF6" s="319">
        <f>COUNTIFS(調査票!$F$88:$F$97,"20歳未満",調査票!$G$88:$G$97,"非正規雇用",調査票!$L$88:$L$97,"他の職場（看護職）への興味")</f>
        <v>0</v>
      </c>
      <c r="PG6" s="319">
        <f>COUNTIFS(調査票!$F$88:$F$97,"20～29歳",調査票!$G$88:$G$97,"非正規雇用",調査票!$L$88:$L$97,"他の職場（看護職）への興味")</f>
        <v>0</v>
      </c>
      <c r="PH6" s="319">
        <f>COUNTIFS(調査票!$F$88:$F$97,"30～39歳",調査票!$G$88:$G$97,"非正規雇用",調査票!$L$88:$L$97,"他の職場（看護職）への興味")</f>
        <v>0</v>
      </c>
      <c r="PI6" s="319">
        <f>COUNTIFS(調査票!$F$88:$F$97,"40～49歳",調査票!$G$88:$G$97,"非正規雇用",調査票!$L$88:$L$97,"他の職場（看護職）への興味")</f>
        <v>0</v>
      </c>
      <c r="PJ6" s="319">
        <f>COUNTIFS(調査票!$F$88:$F$97,"50～59歳",調査票!$G$88:$G$97,"非正規雇用",調査票!$L$88:$L$97,"他の職場（看護職）への興味")</f>
        <v>0</v>
      </c>
      <c r="PK6" s="319">
        <f>COUNTIFS(調査票!$F$88:$F$97,"60歳以上",調査票!$G$88:$G$97,"非正規雇用",調査票!$L$88:$L$97,"他の職場（看護職）への興味")</f>
        <v>0</v>
      </c>
      <c r="PL6" s="336">
        <f>COUNTIFS(調査票!$G$88:$G$97,"非正規雇用",調査票!$I$88:$I$97,"１年未満（新卒）",調査票!$L$88:$L$97,"他の職場（看護職）への興味")</f>
        <v>0</v>
      </c>
      <c r="PM6" s="322">
        <f>SUM(PF6:PK6)</f>
        <v>0</v>
      </c>
      <c r="PN6" s="319">
        <f>COUNTIFS(調査票!$F$88:$F$97,"20歳未満",調査票!$G$88:$G$97,"非正規雇用",調査票!$L$88:$L$97,"他職種への興味")</f>
        <v>0</v>
      </c>
      <c r="PO6" s="319">
        <f>COUNTIFS(調査票!$F$88:$F$97,"20～29歳",調査票!$G$88:$G$97,"非正規雇用",調査票!$L$88:$L$97,"他職種への興味")</f>
        <v>0</v>
      </c>
      <c r="PP6" s="319">
        <f>COUNTIFS(調査票!$F$88:$F$97,"30～39歳",調査票!$G$88:$G$97,"非正規雇用",調査票!$L$88:$L$97,"他職種への興味")</f>
        <v>0</v>
      </c>
      <c r="PQ6" s="319">
        <f>COUNTIFS(調査票!$F$88:$F$97,"40～49歳",調査票!$G$88:$G$97,"非正規雇用",調査票!$L$88:$L$97,"他職種への興味")</f>
        <v>0</v>
      </c>
      <c r="PR6" s="319">
        <f>COUNTIFS(調査票!$F$88:$F$97,"50～59歳",調査票!$G$88:$G$97,"非正規雇用",調査票!$L$88:$L$97,"他職種への興味")</f>
        <v>0</v>
      </c>
      <c r="PS6" s="319">
        <f>COUNTIFS(調査票!$F$88:$F$97,"60歳以上",調査票!$G$88:$G$97,"非正規雇用",調査票!$L$88:$L$97,"他職種への興味")</f>
        <v>0</v>
      </c>
      <c r="PT6" s="320">
        <f>COUNTIFS(調査票!$G$88:$G$97,"非正規雇用",調査票!$I$88:$I$97,"１年未満（新卒）",調査票!$L$88:$L$97,"他職種への興味")</f>
        <v>0</v>
      </c>
      <c r="PU6" s="321">
        <f>SUM(PN6:PS6)</f>
        <v>0</v>
      </c>
      <c r="PV6" s="319">
        <f>COUNTIFS(調査票!$F$88:$F$97,"20歳未満",調査票!$G$88:$G$97,"非正規雇用",調査票!$L$88:$L$97,"キャリアアップ目的（進学・資格取得等）")</f>
        <v>0</v>
      </c>
      <c r="PW6" s="319">
        <f>COUNTIFS(調査票!$F$88:$F$97,"20～29歳",調査票!$G$88:$G$97,"非正規雇用",調査票!$L$88:$L$97,"キャリアアップ目的（進学・資格取得等）")</f>
        <v>0</v>
      </c>
      <c r="PX6" s="319">
        <f>COUNTIFS(調査票!$F$88:$F$97,"30～39歳",調査票!$G$88:$G$97,"非正規雇用",調査票!$L$88:$L$97,"キャリアアップ目的（進学・資格取得等）")</f>
        <v>0</v>
      </c>
      <c r="PY6" s="319">
        <f>COUNTIFS(調査票!$F$88:$F$97,"40～49歳",調査票!$G$88:$G$97,"非正規雇用",調査票!$L$88:$L$97,"キャリアアップ目的（進学・資格取得等）")</f>
        <v>0</v>
      </c>
      <c r="PZ6" s="319">
        <f>COUNTIFS(調査票!$F$88:$F$97,"50～59歳",調査票!$G$88:$G$97,"非正規雇用",調査票!$L$88:$L$97,"キャリアアップ目的（進学・資格取得等）")</f>
        <v>0</v>
      </c>
      <c r="QA6" s="319">
        <f>COUNTIFS(調査票!$F$88:$F$97,"60歳以上",調査票!$G$88:$G$97,"非正規雇用",調査票!$L$88:$L$97,"キャリアアップ目的（進学・資格取得等）")</f>
        <v>0</v>
      </c>
      <c r="QB6" s="320">
        <f>COUNTIFS(調査票!$G$88:$G$97,"非正規雇用",調査票!$I$88:$I$97,"１年未満（新卒）",調査票!$L$88:$L$97,"キャリアアップ目的（進学・資格取得等）")</f>
        <v>0</v>
      </c>
      <c r="QC6" s="321">
        <f>SUM(PV6:QA6)</f>
        <v>0</v>
      </c>
      <c r="QD6" s="319">
        <f>COUNTIFS(調査票!$F$88:$F$97,"20歳未満",調査票!$G$88:$G$97,"非正規雇用",調査票!$L$88:$L$97,"給与についての不満")</f>
        <v>0</v>
      </c>
      <c r="QE6" s="319">
        <f>COUNTIFS(調査票!$F$88:$F$97,"20～29歳",調査票!$G$88:$G$97,"非正規雇用",調査票!$L$88:$L$97,"給与についての不満")</f>
        <v>0</v>
      </c>
      <c r="QF6" s="319">
        <f>COUNTIFS(調査票!$F$88:$F$97,"30～39歳",調査票!$G$88:$G$97,"非正規雇用",調査票!$L$88:$L$97,"給与についての不満")</f>
        <v>0</v>
      </c>
      <c r="QG6" s="319">
        <f>COUNTIFS(調査票!$F$88:$F$97,"40～49歳",調査票!$G$88:$G$97,"非正規雇用",調査票!$L$88:$L$97,"給与についての不満")</f>
        <v>0</v>
      </c>
      <c r="QH6" s="319">
        <f>COUNTIFS(調査票!$F$88:$F$97,"50～59歳",調査票!$G$88:$G$97,"非正規雇用",調査票!$L$88:$L$97,"給与についての不満")</f>
        <v>0</v>
      </c>
      <c r="QI6" s="319">
        <f>COUNTIFS(調査票!$F$88:$F$97,"60歳以上",調査票!$G$88:$G$97,"非正規雇用",調査票!$L$88:$L$97,"給与についての不満")</f>
        <v>0</v>
      </c>
      <c r="QJ6" s="320">
        <f>COUNTIFS(調査票!$G$88:$G$97,"非正規雇用",調査票!$I$88:$I$97,"１年未満（新卒）",調査票!$L$88:$L$97,"給与についての不満")</f>
        <v>0</v>
      </c>
      <c r="QK6" s="321">
        <f>SUM(QD6:QI6)</f>
        <v>0</v>
      </c>
      <c r="QL6" s="319">
        <f>COUNTIFS(調査票!$F$88:$F$97,"20歳未満",調査票!$G$88:$G$97,"非正規雇用",調査票!$L$88:$L$97,"休暇についての不満")</f>
        <v>0</v>
      </c>
      <c r="QM6" s="319">
        <f>COUNTIFS(調査票!$F$88:$F$97,"20～29歳",調査票!$G$88:$G$97,"非正規雇用",調査票!$L$88:$L$97,"休暇についての不満")</f>
        <v>0</v>
      </c>
      <c r="QN6" s="319">
        <f>COUNTIFS(調査票!$F$88:$F$97,"30～39歳",調査票!$G$88:$G$97,"非正規雇用",調査票!$L$88:$L$97,"休暇についての不満")</f>
        <v>0</v>
      </c>
      <c r="QO6" s="319">
        <f>COUNTIFS(調査票!$F$88:$F$97,"40～49歳",調査票!$G$88:$G$97,"非正規雇用",調査票!$L$88:$L$97,"休暇についての不満")</f>
        <v>0</v>
      </c>
      <c r="QP6" s="319">
        <f>COUNTIFS(調査票!$F$88:$F$97,"50～59歳",調査票!$G$88:$G$97,"非正規雇用",調査票!$L$88:$L$97,"休暇についての不満")</f>
        <v>0</v>
      </c>
      <c r="QQ6" s="319">
        <f>COUNTIFS(調査票!$F$88:$F$97,"60歳以上",調査票!$G$88:$G$97,"非正規雇用",調査票!$L$88:$L$97,"休暇についての不満")</f>
        <v>0</v>
      </c>
      <c r="QR6" s="320">
        <f>COUNTIFS(調査票!$G$88:$G$97,"非正規雇用",調査票!$I$88:$I$97,"１年未満（新卒）",調査票!$L$88:$L$97,"休暇についての不満")</f>
        <v>0</v>
      </c>
      <c r="QS6" s="321">
        <f>SUM(QL6:QQ6)</f>
        <v>0</v>
      </c>
      <c r="QT6" s="319">
        <f>COUNTIFS(調査票!$F$88:$F$97,"20歳未満",調査票!$G$88:$G$97,"非正規雇用",調査票!$L$88:$L$97,"超過勤務、夜勤の負担")</f>
        <v>0</v>
      </c>
      <c r="QU6" s="319">
        <f>COUNTIFS(調査票!$F$88:$F$97,"20～29歳",調査票!$G$88:$G$97,"非正規雇用",調査票!$L$88:$L$97,"超過勤務、夜勤の負担")</f>
        <v>0</v>
      </c>
      <c r="QV6" s="319">
        <f>COUNTIFS(調査票!$F$88:$F$97,"30～39歳",調査票!$G$88:$G$97,"非正規雇用",調査票!$L$88:$L$97,"超過勤務、夜勤の負担")</f>
        <v>0</v>
      </c>
      <c r="QW6" s="319">
        <f>COUNTIFS(調査票!$F$88:$F$97,"40～49歳",調査票!$G$88:$G$97,"非正規雇用",調査票!$L$88:$L$97,"超過勤務、夜勤の負担")</f>
        <v>0</v>
      </c>
      <c r="QX6" s="319">
        <f>COUNTIFS(調査票!$F$88:$F$97,"50～59歳",調査票!$G$88:$G$97,"非正規雇用",調査票!$L$88:$L$97,"超過勤務、夜勤の負担")</f>
        <v>0</v>
      </c>
      <c r="QY6" s="319">
        <f>COUNTIFS(調査票!$F$88:$F$97,"60歳以上",調査票!$G$88:$G$97,"非正規雇用",調査票!$L$88:$L$97,"超過勤務、夜勤の負担")</f>
        <v>0</v>
      </c>
      <c r="QZ6" s="320">
        <f>COUNTIFS(調査票!$G$88:$G$97,"非正規雇用",調査票!$I$88:$I$97,"１年未満（新卒）",調査票!$L$88:$L$97,"超過勤務、夜勤の負担")</f>
        <v>0</v>
      </c>
      <c r="RA6" s="321">
        <f>SUM(QT6:QY6)</f>
        <v>0</v>
      </c>
      <c r="RB6" s="319">
        <f>COUNTIFS(調査票!$F$88:$F$97,"20歳未満",調査票!$G$88:$G$97,"非正規雇用",調査票!$L$88:$L$97,"人間関係の悩み")</f>
        <v>0</v>
      </c>
      <c r="RC6" s="319">
        <f>COUNTIFS(調査票!$F$88:$F$97,"20～29歳",調査票!$G$88:$G$97,"非正規雇用",調査票!$L$88:$L$97,"人間関係の悩み")</f>
        <v>0</v>
      </c>
      <c r="RD6" s="319">
        <f>COUNTIFS(調査票!$F$88:$F$97,"30～39歳",調査票!$G$88:$G$97,"非正規雇用",調査票!$L$88:$L$97,"人間関係の悩み")</f>
        <v>0</v>
      </c>
      <c r="RE6" s="319">
        <f>COUNTIFS(調査票!$F$88:$F$97,"40～49歳",調査票!$G$88:$G$97,"非正規雇用",調査票!$L$88:$L$97,"人間関係の悩み")</f>
        <v>0</v>
      </c>
      <c r="RF6" s="319">
        <f>COUNTIFS(調査票!$F$88:$F$97,"50～59歳",調査票!$G$88:$G$97,"非正規雇用",調査票!$L$88:$L$97,"人間関係の悩み")</f>
        <v>0</v>
      </c>
      <c r="RG6" s="319">
        <f>COUNTIFS(調査票!$F$88:$F$97,"60歳以上",調査票!$G$88:$G$97,"非正規雇用",調査票!$L$88:$L$97,"人間関係の悩み")</f>
        <v>0</v>
      </c>
      <c r="RH6" s="320">
        <f>COUNTIFS(調査票!$G$88:$G$97,"非正規雇用",調査票!$I$88:$I$97,"１年未満（新卒）",調査票!$L$88:$L$97,"人間関係の悩み")</f>
        <v>0</v>
      </c>
      <c r="RI6" s="321">
        <f>SUM(RB6:RG6)</f>
        <v>0</v>
      </c>
      <c r="RJ6" s="319">
        <f>COUNTIFS(調査票!$F$88:$F$97,"20歳未満",調査票!$G$88:$G$97,"非正規雇用",調査票!$L$88:$L$97,"自分の適性※1への不安")</f>
        <v>0</v>
      </c>
      <c r="RK6" s="319">
        <f>COUNTIFS(調査票!$F$88:$F$97,"20～29歳",調査票!$G$88:$G$97,"非正規雇用",調査票!$L$88:$L$97,"自分の適性※1への不安")</f>
        <v>0</v>
      </c>
      <c r="RL6" s="319">
        <f>COUNTIFS(調査票!$F$88:$F$97,"30～39歳",調査票!$G$88:$G$97,"非正規雇用",調査票!$L$88:$L$97,"自分の適性※1への不安")</f>
        <v>0</v>
      </c>
      <c r="RM6" s="319">
        <f>COUNTIFS(調査票!$F$88:$F$97,"40～49歳",調査票!$G$88:$G$97,"非正規雇用",調査票!$L$88:$L$97,"自分の適性※1への不安")</f>
        <v>0</v>
      </c>
      <c r="RN6" s="319">
        <f>COUNTIFS(調査票!$F$88:$F$97,"50～59歳",調査票!$G$88:$G$97,"非正規雇用",調査票!$L$88:$L$97,"自分の適性※1への不安")</f>
        <v>0</v>
      </c>
      <c r="RO6" s="319">
        <f>COUNTIFS(調査票!$F$88:$F$97,"60歳以上",調査票!$G$88:$G$97,"非正規雇用",調査票!$L$88:$L$97,"自分の適性※1への不安")</f>
        <v>0</v>
      </c>
      <c r="RP6" s="320">
        <f>COUNTIFS(調査票!$G$88:$G$97,"非正規雇用",調査票!$I$88:$I$97,"１年未満（新卒）",調査票!$L$88:$L$97,"自分の適性※1への不安")</f>
        <v>0</v>
      </c>
      <c r="RQ6" s="321">
        <f>SUM(RJ6:RO6)</f>
        <v>0</v>
      </c>
      <c r="RR6" s="319">
        <f>COUNTIFS(調査票!$F$88:$F$97,"20歳未満",調査票!$G$88:$G$97,"非正規雇用",調査票!$L$88:$L$97,"自分の能力※2への不安")</f>
        <v>0</v>
      </c>
      <c r="RS6" s="319">
        <f>COUNTIFS(調査票!$F$88:$F$97,"20～29歳",調査票!$G$88:$G$97,"非正規雇用",調査票!$L$88:$L$97,"自分の能力※2への不安")</f>
        <v>0</v>
      </c>
      <c r="RT6" s="319">
        <f>COUNTIFS(調査票!$F$88:$F$97,"30～39歳",調査票!$G$88:$G$97,"非正規雇用",調査票!$L$88:$L$97,"自分の能力※2への不安")</f>
        <v>0</v>
      </c>
      <c r="RU6" s="319">
        <f>COUNTIFS(調査票!$F$88:$F$97,"40～49歳",調査票!$G$88:$G$97,"非正規雇用",調査票!$L$88:$L$97,"自分の能力※2への不安")</f>
        <v>0</v>
      </c>
      <c r="RV6" s="319">
        <f>COUNTIFS(調査票!$F$88:$F$97,"50～59歳",調査票!$G$88:$G$97,"非正規雇用",調査票!$L$88:$L$97,"自分の能力※2への不安")</f>
        <v>0</v>
      </c>
      <c r="RW6" s="319">
        <f>COUNTIFS(調査票!$F$88:$F$97,"60歳以上",調査票!$G$88:$G$97,"非正規雇用",調査票!$L$88:$L$97,"自分の能力※2への不安")</f>
        <v>0</v>
      </c>
      <c r="RX6" s="320">
        <f>COUNTIFS(調査票!$G$88:$G$97,"非正規雇用",調査票!$I$88:$I$97,"１年未満（新卒）",調査票!$L$88:$L$97,"自分の能力※2への不安")</f>
        <v>0</v>
      </c>
      <c r="RY6" s="321">
        <f>SUM(RR6:RW6)</f>
        <v>0</v>
      </c>
      <c r="RZ6" s="319">
        <f>COUNTIFS(調査票!$F$88:$F$97,"20歳未満",調査票!$G$88:$G$97,"非正規雇用",調査票!$L$88:$L$97,"医療事故や責任の重さへの不安")</f>
        <v>0</v>
      </c>
      <c r="SA6" s="319">
        <f>COUNTIFS(調査票!$F$88:$F$97,"20～29歳",調査票!$G$88:$G$97,"非正規雇用",調査票!$L$88:$L$97,"医療事故や責任の重さへの不安")</f>
        <v>0</v>
      </c>
      <c r="SB6" s="319">
        <f>COUNTIFS(調査票!$F$88:$F$97,"30～39歳",調査票!$G$88:$G$97,"非正規雇用",調査票!$L$88:$L$97,"医療事故や責任の重さへの不安")</f>
        <v>0</v>
      </c>
      <c r="SC6" s="319">
        <f>COUNTIFS(調査票!$F$88:$F$97,"40～49歳",調査票!$G$88:$G$97,"非正規雇用",調査票!$L$88:$L$97,"医療事故や責任の重さへの不安")</f>
        <v>0</v>
      </c>
      <c r="SD6" s="319">
        <f>COUNTIFS(調査票!$F$88:$F$97,"50～59歳",調査票!$G$88:$G$97,"非正規雇用",調査票!$L$88:$L$97,"医療事故や責任の重さへの不安")</f>
        <v>0</v>
      </c>
      <c r="SE6" s="319">
        <f>COUNTIFS(調査票!$F$88:$F$97,"60歳以上",調査票!$G$88:$G$97,"非正規雇用",調査票!$L$88:$L$97,"医療事故や責任の重さへの不安")</f>
        <v>0</v>
      </c>
      <c r="SF6" s="320">
        <f>COUNTIFS(調査票!$G$88:$G$97,"非正規雇用",調査票!$I$88:$I$97,"１年未満（新卒）",調査票!$L$88:$L$97,"医療事故や責任の重さへの不安")</f>
        <v>0</v>
      </c>
      <c r="SG6" s="321">
        <f>SUM(RZ6:SE6)</f>
        <v>0</v>
      </c>
      <c r="SH6" s="319">
        <f>COUNTIFS(調査票!$F$88:$F$97,"20歳未満",調査票!$G$88:$G$97,"非正規雇用",調査票!$L$88:$L$97,"その他")</f>
        <v>0</v>
      </c>
      <c r="SI6" s="319">
        <f>COUNTIFS(調査票!$F$88:$F$97,"20～29歳",調査票!$G$88:$G$97,"非正規雇用",調査票!$L$88:$L$97,"その他")</f>
        <v>0</v>
      </c>
      <c r="SJ6" s="319">
        <f>COUNTIFS(調査票!$F$88:$F$97,"30～39歳",調査票!$G$88:$G$97,"非正規雇用",調査票!$L$88:$L$97,"その他")</f>
        <v>0</v>
      </c>
      <c r="SK6" s="319">
        <f>COUNTIFS(調査票!$F$88:$F$97,"40～49歳",調査票!$G$88:$G$97,"非正規雇用",調査票!$L$88:$L$97,"その他")</f>
        <v>0</v>
      </c>
      <c r="SL6" s="319">
        <f>COUNTIFS(調査票!$F$88:$F$97,"50～59歳",調査票!$G$88:$G$97,"非正規雇用",調査票!$L$88:$L$97,"その他")</f>
        <v>0</v>
      </c>
      <c r="SM6" s="319">
        <f>COUNTIFS(調査票!$F$88:$F$97,"60歳以上",調査票!$G$88:$G$97,"非正規雇用",調査票!$L$88:$L$97,"その他")</f>
        <v>0</v>
      </c>
      <c r="SN6" s="336">
        <f>COUNTIFS(調査票!$G$88:$G$97,"非正規雇用",調査票!$I$88:$I$97,"１年未満（新卒）",調査票!$L$88:$L$97,"その他")</f>
        <v>0</v>
      </c>
      <c r="SO6" s="321">
        <f>SUM(SH6:SM6)</f>
        <v>0</v>
      </c>
      <c r="SP6" s="319">
        <f>ID6+NJ6</f>
        <v>0</v>
      </c>
      <c r="SQ6" s="319">
        <f t="shared" ref="SQ6:VB6" si="3">IE6+NK6</f>
        <v>0</v>
      </c>
      <c r="SR6" s="319">
        <f t="shared" si="3"/>
        <v>0</v>
      </c>
      <c r="SS6" s="319">
        <f t="shared" si="3"/>
        <v>0</v>
      </c>
      <c r="ST6" s="319">
        <f t="shared" si="3"/>
        <v>0</v>
      </c>
      <c r="SU6" s="319">
        <f t="shared" si="3"/>
        <v>0</v>
      </c>
      <c r="SV6" s="320">
        <f t="shared" si="3"/>
        <v>0</v>
      </c>
      <c r="SW6" s="321">
        <f t="shared" si="3"/>
        <v>0</v>
      </c>
      <c r="SX6" s="319">
        <f t="shared" si="3"/>
        <v>0</v>
      </c>
      <c r="SY6" s="319">
        <f t="shared" si="3"/>
        <v>0</v>
      </c>
      <c r="SZ6" s="319">
        <f t="shared" si="3"/>
        <v>0</v>
      </c>
      <c r="TA6" s="319">
        <f t="shared" si="3"/>
        <v>0</v>
      </c>
      <c r="TB6" s="319">
        <f t="shared" si="3"/>
        <v>0</v>
      </c>
      <c r="TC6" s="319">
        <f t="shared" si="3"/>
        <v>0</v>
      </c>
      <c r="TD6" s="319">
        <f t="shared" si="3"/>
        <v>0</v>
      </c>
      <c r="TE6" s="321">
        <f t="shared" si="3"/>
        <v>0</v>
      </c>
      <c r="TF6" s="319">
        <f t="shared" si="3"/>
        <v>0</v>
      </c>
      <c r="TG6" s="319">
        <f t="shared" si="3"/>
        <v>0</v>
      </c>
      <c r="TH6" s="319">
        <f t="shared" si="3"/>
        <v>0</v>
      </c>
      <c r="TI6" s="319">
        <f t="shared" si="3"/>
        <v>0</v>
      </c>
      <c r="TJ6" s="319">
        <f t="shared" si="3"/>
        <v>0</v>
      </c>
      <c r="TK6" s="319">
        <f t="shared" si="3"/>
        <v>0</v>
      </c>
      <c r="TL6" s="319">
        <f t="shared" si="3"/>
        <v>0</v>
      </c>
      <c r="TM6" s="321">
        <f t="shared" si="3"/>
        <v>0</v>
      </c>
      <c r="TN6" s="319">
        <f t="shared" si="3"/>
        <v>0</v>
      </c>
      <c r="TO6" s="319">
        <f t="shared" si="3"/>
        <v>0</v>
      </c>
      <c r="TP6" s="319">
        <f t="shared" si="3"/>
        <v>0</v>
      </c>
      <c r="TQ6" s="319">
        <f t="shared" si="3"/>
        <v>0</v>
      </c>
      <c r="TR6" s="319">
        <f t="shared" si="3"/>
        <v>0</v>
      </c>
      <c r="TS6" s="319">
        <f t="shared" si="3"/>
        <v>0</v>
      </c>
      <c r="TT6" s="319">
        <f t="shared" si="3"/>
        <v>0</v>
      </c>
      <c r="TU6" s="321">
        <f t="shared" si="3"/>
        <v>0</v>
      </c>
      <c r="TV6" s="319">
        <f t="shared" si="3"/>
        <v>0</v>
      </c>
      <c r="TW6" s="319">
        <f t="shared" si="3"/>
        <v>0</v>
      </c>
      <c r="TX6" s="319">
        <f t="shared" si="3"/>
        <v>0</v>
      </c>
      <c r="TY6" s="319">
        <f t="shared" si="3"/>
        <v>0</v>
      </c>
      <c r="TZ6" s="319">
        <f t="shared" si="3"/>
        <v>0</v>
      </c>
      <c r="UA6" s="319">
        <f t="shared" si="3"/>
        <v>0</v>
      </c>
      <c r="UB6" s="320">
        <f t="shared" si="3"/>
        <v>0</v>
      </c>
      <c r="UC6" s="321">
        <f t="shared" si="3"/>
        <v>0</v>
      </c>
      <c r="UD6" s="319">
        <f t="shared" si="3"/>
        <v>0</v>
      </c>
      <c r="UE6" s="319">
        <f t="shared" si="3"/>
        <v>0</v>
      </c>
      <c r="UF6" s="319">
        <f t="shared" si="3"/>
        <v>0</v>
      </c>
      <c r="UG6" s="319">
        <f t="shared" si="3"/>
        <v>0</v>
      </c>
      <c r="UH6" s="319">
        <f t="shared" si="3"/>
        <v>0</v>
      </c>
      <c r="UI6" s="319">
        <f t="shared" si="3"/>
        <v>0</v>
      </c>
      <c r="UJ6" s="320">
        <f t="shared" si="3"/>
        <v>0</v>
      </c>
      <c r="UK6" s="321">
        <f t="shared" si="3"/>
        <v>0</v>
      </c>
      <c r="UL6" s="319">
        <f t="shared" si="3"/>
        <v>0</v>
      </c>
      <c r="UM6" s="319">
        <f t="shared" si="3"/>
        <v>0</v>
      </c>
      <c r="UN6" s="319">
        <f t="shared" si="3"/>
        <v>0</v>
      </c>
      <c r="UO6" s="319">
        <f t="shared" si="3"/>
        <v>0</v>
      </c>
      <c r="UP6" s="319">
        <f t="shared" si="3"/>
        <v>0</v>
      </c>
      <c r="UQ6" s="319">
        <f t="shared" si="3"/>
        <v>0</v>
      </c>
      <c r="UR6" s="336">
        <f t="shared" si="3"/>
        <v>0</v>
      </c>
      <c r="US6" s="322">
        <f t="shared" si="3"/>
        <v>0</v>
      </c>
      <c r="UT6" s="319">
        <f t="shared" si="3"/>
        <v>0</v>
      </c>
      <c r="UU6" s="319">
        <f t="shared" si="3"/>
        <v>0</v>
      </c>
      <c r="UV6" s="319">
        <f t="shared" si="3"/>
        <v>0</v>
      </c>
      <c r="UW6" s="319">
        <f t="shared" si="3"/>
        <v>0</v>
      </c>
      <c r="UX6" s="319">
        <f t="shared" si="3"/>
        <v>0</v>
      </c>
      <c r="UY6" s="319">
        <f t="shared" si="3"/>
        <v>0</v>
      </c>
      <c r="UZ6" s="320">
        <f t="shared" si="3"/>
        <v>0</v>
      </c>
      <c r="VA6" s="321">
        <f t="shared" si="3"/>
        <v>0</v>
      </c>
      <c r="VB6" s="319">
        <f t="shared" si="3"/>
        <v>0</v>
      </c>
      <c r="VC6" s="319">
        <f t="shared" ref="VC6:XN6" si="4">KQ6+PW6</f>
        <v>0</v>
      </c>
      <c r="VD6" s="319">
        <f t="shared" si="4"/>
        <v>0</v>
      </c>
      <c r="VE6" s="319">
        <f t="shared" si="4"/>
        <v>0</v>
      </c>
      <c r="VF6" s="319">
        <f t="shared" si="4"/>
        <v>0</v>
      </c>
      <c r="VG6" s="319">
        <f t="shared" si="4"/>
        <v>0</v>
      </c>
      <c r="VH6" s="320">
        <f t="shared" si="4"/>
        <v>0</v>
      </c>
      <c r="VI6" s="321">
        <f t="shared" si="4"/>
        <v>0</v>
      </c>
      <c r="VJ6" s="319">
        <f t="shared" si="4"/>
        <v>0</v>
      </c>
      <c r="VK6" s="319">
        <f t="shared" si="4"/>
        <v>0</v>
      </c>
      <c r="VL6" s="319">
        <f t="shared" si="4"/>
        <v>0</v>
      </c>
      <c r="VM6" s="319">
        <f t="shared" si="4"/>
        <v>0</v>
      </c>
      <c r="VN6" s="319">
        <f t="shared" si="4"/>
        <v>0</v>
      </c>
      <c r="VO6" s="319">
        <f t="shared" si="4"/>
        <v>0</v>
      </c>
      <c r="VP6" s="320">
        <f t="shared" si="4"/>
        <v>0</v>
      </c>
      <c r="VQ6" s="321">
        <f t="shared" si="4"/>
        <v>0</v>
      </c>
      <c r="VR6" s="319">
        <f t="shared" si="4"/>
        <v>0</v>
      </c>
      <c r="VS6" s="319">
        <f t="shared" si="4"/>
        <v>0</v>
      </c>
      <c r="VT6" s="319">
        <f t="shared" si="4"/>
        <v>0</v>
      </c>
      <c r="VU6" s="319">
        <f t="shared" si="4"/>
        <v>0</v>
      </c>
      <c r="VV6" s="319">
        <f t="shared" si="4"/>
        <v>0</v>
      </c>
      <c r="VW6" s="319">
        <f t="shared" si="4"/>
        <v>0</v>
      </c>
      <c r="VX6" s="320">
        <f t="shared" si="4"/>
        <v>0</v>
      </c>
      <c r="VY6" s="321">
        <f t="shared" si="4"/>
        <v>0</v>
      </c>
      <c r="VZ6" s="319">
        <f t="shared" si="4"/>
        <v>0</v>
      </c>
      <c r="WA6" s="319">
        <f t="shared" si="4"/>
        <v>0</v>
      </c>
      <c r="WB6" s="319">
        <f t="shared" si="4"/>
        <v>0</v>
      </c>
      <c r="WC6" s="319">
        <f t="shared" si="4"/>
        <v>0</v>
      </c>
      <c r="WD6" s="319">
        <f t="shared" si="4"/>
        <v>0</v>
      </c>
      <c r="WE6" s="319">
        <f t="shared" si="4"/>
        <v>0</v>
      </c>
      <c r="WF6" s="320">
        <f t="shared" si="4"/>
        <v>0</v>
      </c>
      <c r="WG6" s="321">
        <f t="shared" si="4"/>
        <v>0</v>
      </c>
      <c r="WH6" s="319">
        <f t="shared" si="4"/>
        <v>0</v>
      </c>
      <c r="WI6" s="319">
        <f t="shared" si="4"/>
        <v>0</v>
      </c>
      <c r="WJ6" s="319">
        <f t="shared" si="4"/>
        <v>0</v>
      </c>
      <c r="WK6" s="319">
        <f t="shared" si="4"/>
        <v>0</v>
      </c>
      <c r="WL6" s="319">
        <f t="shared" si="4"/>
        <v>0</v>
      </c>
      <c r="WM6" s="319">
        <f t="shared" si="4"/>
        <v>0</v>
      </c>
      <c r="WN6" s="320">
        <f t="shared" si="4"/>
        <v>0</v>
      </c>
      <c r="WO6" s="321">
        <f t="shared" si="4"/>
        <v>0</v>
      </c>
      <c r="WP6" s="319">
        <f t="shared" si="4"/>
        <v>0</v>
      </c>
      <c r="WQ6" s="319">
        <f t="shared" si="4"/>
        <v>0</v>
      </c>
      <c r="WR6" s="319">
        <f t="shared" si="4"/>
        <v>0</v>
      </c>
      <c r="WS6" s="319">
        <f t="shared" si="4"/>
        <v>0</v>
      </c>
      <c r="WT6" s="319">
        <f t="shared" si="4"/>
        <v>0</v>
      </c>
      <c r="WU6" s="319">
        <f t="shared" si="4"/>
        <v>0</v>
      </c>
      <c r="WV6" s="320">
        <f t="shared" si="4"/>
        <v>0</v>
      </c>
      <c r="WW6" s="321">
        <f t="shared" si="4"/>
        <v>0</v>
      </c>
      <c r="WX6" s="319">
        <f t="shared" si="4"/>
        <v>0</v>
      </c>
      <c r="WY6" s="319">
        <f t="shared" si="4"/>
        <v>0</v>
      </c>
      <c r="WZ6" s="319">
        <f t="shared" si="4"/>
        <v>0</v>
      </c>
      <c r="XA6" s="319">
        <f t="shared" si="4"/>
        <v>0</v>
      </c>
      <c r="XB6" s="319">
        <f t="shared" si="4"/>
        <v>0</v>
      </c>
      <c r="XC6" s="319">
        <f t="shared" si="4"/>
        <v>0</v>
      </c>
      <c r="XD6" s="320">
        <f t="shared" si="4"/>
        <v>0</v>
      </c>
      <c r="XE6" s="321">
        <f t="shared" si="4"/>
        <v>0</v>
      </c>
      <c r="XF6" s="319">
        <f t="shared" si="4"/>
        <v>0</v>
      </c>
      <c r="XG6" s="319">
        <f t="shared" si="4"/>
        <v>0</v>
      </c>
      <c r="XH6" s="319">
        <f t="shared" si="4"/>
        <v>0</v>
      </c>
      <c r="XI6" s="319">
        <f t="shared" si="4"/>
        <v>0</v>
      </c>
      <c r="XJ6" s="319">
        <f t="shared" si="4"/>
        <v>0</v>
      </c>
      <c r="XK6" s="319">
        <f t="shared" si="4"/>
        <v>0</v>
      </c>
      <c r="XL6" s="320">
        <f t="shared" si="4"/>
        <v>0</v>
      </c>
      <c r="XM6" s="321">
        <f t="shared" si="4"/>
        <v>0</v>
      </c>
      <c r="XN6" s="319">
        <f t="shared" si="4"/>
        <v>0</v>
      </c>
      <c r="XO6" s="319">
        <f t="shared" ref="XO6:XU6" si="5">NC6+SI6</f>
        <v>0</v>
      </c>
      <c r="XP6" s="319">
        <f t="shared" si="5"/>
        <v>0</v>
      </c>
      <c r="XQ6" s="319">
        <f t="shared" si="5"/>
        <v>0</v>
      </c>
      <c r="XR6" s="319">
        <f t="shared" si="5"/>
        <v>0</v>
      </c>
      <c r="XS6" s="319">
        <f t="shared" si="5"/>
        <v>0</v>
      </c>
      <c r="XT6" s="336">
        <f t="shared" si="5"/>
        <v>0</v>
      </c>
      <c r="XU6" s="321">
        <f t="shared" si="5"/>
        <v>0</v>
      </c>
      <c r="XV6" s="337">
        <f>調査票!A101</f>
        <v>0</v>
      </c>
      <c r="XW6" s="319">
        <f>COUNTIFS(調査票!$D$60:$D$69,"保健師",調査票!$G$60:$G$69,"正規雇用",調査票!$N$60:$N$69,"大学院")</f>
        <v>0</v>
      </c>
      <c r="XX6" s="319">
        <f>COUNTIFS(調査票!$D$88:$D$97,"保健師",調査票!$G$88:$G$97,"正規雇用",調査票!$O$88:$O$97,"大学院")</f>
        <v>0</v>
      </c>
      <c r="XY6" s="319">
        <f>COUNTIFS(調査票!$D$60:$D$69,"保健師",調査票!$G$60:$G$69,"正規雇用",調査票!$N$60:$N$69,"大学")</f>
        <v>0</v>
      </c>
      <c r="XZ6" s="319">
        <f>COUNTIFS(調査票!$D$88:$D$97,"保健師",調査票!$G$88:$G$97,"正規雇用",調査票!$O$88:$O$97,"大学")</f>
        <v>0</v>
      </c>
      <c r="YA6" s="319">
        <f>COUNTIFS(調査票!$D$60:$D$69,"保健師",調査票!$G$60:$G$69,"正規雇用",調査票!$N$60:$N$69,"保健師学校")</f>
        <v>0</v>
      </c>
      <c r="YB6" s="319">
        <f>COUNTIFS(調査票!$D$88:$D$97,"保健師",調査票!$G$88:$G$97,"正規雇用",調査票!$O$88:$O$97,"保健師学校")</f>
        <v>0</v>
      </c>
      <c r="YC6" s="319">
        <f>COUNTIFS(調査票!$D$60:$D$69,"保健師",調査票!$G$60:$G$69,"正規雇用",調査票!$N$60:$N$69,"短期大学（保健師専攻科）")</f>
        <v>0</v>
      </c>
      <c r="YD6" s="319">
        <f>COUNTIFS(調査票!$D$88:$D$97,"保健師",調査票!$G$88:$G$97,"正規雇用",調査票!$O$88:$O$97,"短期大学（保健師専攻科）")</f>
        <v>0</v>
      </c>
      <c r="YE6" s="319">
        <f>COUNTIFS(調査票!$D$60:$D$69,"保健師",調査票!$G$60:$G$69,"正規雇用",調査票!$N$60:$N$69,"看護師学校養成所（３年課程、統合カリキュラム）")</f>
        <v>0</v>
      </c>
      <c r="YF6" s="319">
        <f>COUNTIFS(調査票!$D$88:$D$97,"保健師",調査票!$G$88:$G$97,"正規雇用",調査票!$O$88:$O$97,"看護師学校養成所（３年課程、統合カリキュラム）")</f>
        <v>0</v>
      </c>
      <c r="YG6" s="319">
        <f>COUNTIFS(調査票!$D$60:$D$69,"助産師",調査票!$G$60:$G$69,"正規雇用",調査票!$N$60:$N$69,"大学院")</f>
        <v>0</v>
      </c>
      <c r="YH6" s="319">
        <f>COUNTIFS(調査票!$D$88:$D$97,"助産師",調査票!$G$88:$G$97,"正規雇用",調査票!$O$88:$O$97,"大学院")</f>
        <v>0</v>
      </c>
      <c r="YI6" s="319">
        <f>COUNTIFS(調査票!$D$60:$D$69,"助産師",調査票!$G$60:$G$69,"正規雇用",調査票!$N$60:$N$69,"大学")</f>
        <v>0</v>
      </c>
      <c r="YJ6" s="319">
        <f>COUNTIFS(調査票!$D$88:$D$97,"助産師",調査票!$G$88:$G$97,"正規雇用",調査票!$O$88:$O$97,"大学")</f>
        <v>0</v>
      </c>
      <c r="YK6" s="319">
        <f>COUNTIFS(調査票!$D$60:$D$69,"助産師",調査票!$G$60:$G$69,"正規雇用",調査票!$N$60:$N$69,"助産師養成等（別科含）")</f>
        <v>0</v>
      </c>
      <c r="YL6" s="319">
        <f>COUNTIFS(調査票!$D$88:$D$97,"助産師",調査票!$G$88:$G$97,"正規雇用",調査票!$O$88:$O$97,"助産師養成等（別科含）")</f>
        <v>0</v>
      </c>
      <c r="YM6" s="319">
        <f>COUNTIFS(調査票!$D$60:$D$69,"看護師",調査票!$G$60:$G$69,"正規雇用",調査票!$N$60:$N$69,"大学")</f>
        <v>0</v>
      </c>
      <c r="YN6" s="319">
        <f>COUNTIFS(調査票!$D$88:$D$97,"看護師",調査票!$G$88:$G$97,"正規雇用",調査票!$O$88:$O$97,"大学")</f>
        <v>0</v>
      </c>
      <c r="YO6" s="319">
        <f>COUNTIFS(調査票!$D$60:$D$69,"看護師",調査票!$G$60:$G$69,"正規雇用",調査票!$N$60:$N$69,"短期大学（3年課程）")</f>
        <v>0</v>
      </c>
      <c r="YP6" s="319">
        <f>COUNTIFS(調査票!$D$88:$D$97,"看護師",調査票!$G$88:$G$97,"正規雇用",調査票!$O$88:$O$97,"短期大学（3年課程）")</f>
        <v>0</v>
      </c>
      <c r="YQ6" s="319">
        <f>COUNTIFS(調査票!$D$60:$D$69,"看護師",調査票!$G$60:$G$69,"正規雇用",調査票!$N$60:$N$69,"看護師学校養成所（３年課程、統合カリキュラム）")</f>
        <v>0</v>
      </c>
      <c r="YR6" s="319">
        <f>COUNTIFS(調査票!$D$88:$D$97,"看護師",調査票!$G$88:$G$97,"正規雇用",調査票!$O$88:$O$97,"看護師学校養成所（３年課程、統合カリキュラム）")</f>
        <v>0</v>
      </c>
      <c r="YS6" s="319">
        <f>COUNTIFS(調査票!$D$60:$D$69,"看護師",調査票!$G$60:$G$69,"正規雇用",調査票!$N$60:$N$69,"看護師学校養成所・短期大学（２年課程）")</f>
        <v>0</v>
      </c>
      <c r="YT6" s="319">
        <f>COUNTIFS(調査票!$D$88:$D$97,"看護師",調査票!$G$88:$G$97,"正規雇用",調査票!$O$88:$O$97,"看護師学校養成所・短期大学（２年課程）")</f>
        <v>0</v>
      </c>
      <c r="YU6" s="319">
        <f>COUNTIFS(調査票!$D$60:$D$69,"看護師",調査票!$G$60:$G$69,"正規雇用",調査票!$N$60:$N$69,"その他（５年一貫教育・高等学校専攻科 等）")</f>
        <v>0</v>
      </c>
      <c r="YV6" s="319">
        <f>COUNTIFS(調査票!$D$88:$D$97,"看護師",調査票!$G$88:$G$97,"正規雇用",調査票!$O$88:$O$97,"その他（５年一貫教育・高等学校専攻科 等）")</f>
        <v>0</v>
      </c>
      <c r="YW6" s="319">
        <f>COUNTIFS(調査票!$D$60:$D$69,"准看護師",調査票!$G$60:$G$69,"正規雇用",調査票!$N$60:$N$69,"准看護師養成所")</f>
        <v>0</v>
      </c>
      <c r="YX6" s="319">
        <f>COUNTIFS(調査票!$D$88:$D$97,"准看護師",調査票!$G$88:$G$97,"正規雇用",調査票!$O$88:$O$97,"准看護師養成所")</f>
        <v>0</v>
      </c>
      <c r="YY6" s="319">
        <f>COUNTIFS(調査票!$D$60:$D$69,"保健師",調査票!$G$60:$G$69,"非正規雇用",調査票!$N$60:$N$69,"大学院")</f>
        <v>0</v>
      </c>
      <c r="YZ6" s="319">
        <f>COUNTIFS(調査票!$D$88:$D$97,"保健師",調査票!$G$88:$G$97,"非正規雇用",調査票!$O$88:$O$97,"大学院")</f>
        <v>0</v>
      </c>
      <c r="ZA6" s="319">
        <f>COUNTIFS(調査票!$D$60:$D$69,"保健師",調査票!$G$60:$G$69,"非正規雇用",調査票!$N$60:$N$69,"大学")</f>
        <v>0</v>
      </c>
      <c r="ZB6" s="319">
        <f>COUNTIFS(調査票!$D$88:$D$97,"保健師",調査票!$G$88:$G$97,"非正規雇用",調査票!$O$88:$O$97,"大学")</f>
        <v>0</v>
      </c>
      <c r="ZC6" s="319">
        <f>COUNTIFS(調査票!$D$60:$D$69,"保健師",調査票!$G$60:$G$69,"非正規雇用",調査票!$N$60:$N$69,"保健師学校")</f>
        <v>0</v>
      </c>
      <c r="ZD6" s="319">
        <f>COUNTIFS(調査票!$D$88:$D$97,"保健師",調査票!$G$88:$G$97,"非正規雇用",調査票!$O$88:$O$97,"保健師学校")</f>
        <v>0</v>
      </c>
      <c r="ZE6" s="319">
        <f>COUNTIFS(調査票!$D$60:$D$69,"保健師",調査票!$G$60:$G$69,"非正規雇用",調査票!$N$60:$N$69,"短期大学（保健師専攻科）")</f>
        <v>0</v>
      </c>
      <c r="ZF6" s="319">
        <f>COUNTIFS(調査票!$D$88:$D$97,"保健師",調査票!$G$88:$G$97,"非正規雇用",調査票!$O$88:$O$97,"短期大学（保健師専攻科）")</f>
        <v>0</v>
      </c>
      <c r="ZG6" s="319">
        <f>COUNTIFS(調査票!$D$60:$D$69,"保健師",調査票!$G$60:$G$69,"非正規雇用",調査票!$N$60:$N$69,"看護師学校養成所（３年課程、統合カリキュラム）")</f>
        <v>0</v>
      </c>
      <c r="ZH6" s="319">
        <f>COUNTIFS(調査票!$D$88:$D$97,"保健師",調査票!$G$88:$G$97,"非正規雇用",調査票!$O$88:$O$97,"看護師学校養成所（３年課程、統合カリキュラム）")</f>
        <v>0</v>
      </c>
      <c r="ZI6" s="319">
        <f>COUNTIFS(調査票!$D$60:$D$69,"助産師",調査票!$G$60:$G$69,"非正規雇用",調査票!$N$60:$N$69,"大学院")</f>
        <v>0</v>
      </c>
      <c r="ZJ6" s="319">
        <f>COUNTIFS(調査票!$D$88:$D$97,"助産師",調査票!$G$88:$G$97,"非正規雇用",調査票!$O$88:$O$97,"大学院")</f>
        <v>0</v>
      </c>
      <c r="ZK6" s="319">
        <f>COUNTIFS(調査票!$D$60:$D$69,"助産師",調査票!$G$60:$G$69,"非正規雇用",調査票!$N$60:$N$69,"大学")</f>
        <v>0</v>
      </c>
      <c r="ZL6" s="319">
        <f>COUNTIFS(調査票!$D$88:$D$97,"助産師",調査票!$G$88:$G$97,"非正規雇用",調査票!$O$88:$O$97,"大学")</f>
        <v>0</v>
      </c>
      <c r="ZM6" s="319">
        <f>COUNTIFS(調査票!$D$60:$D$69,"助産師",調査票!$G$60:$G$69,"非正規雇用",調査票!$N$60:$N$69,"助産師養成等（別科含）")</f>
        <v>0</v>
      </c>
      <c r="ZN6" s="319">
        <f>COUNTIFS(調査票!$D$88:$D$97,"助産師",調査票!$G$88:$G$97,"非正規雇用",調査票!$O$88:$O$97,"助産師養成等（別科含）")</f>
        <v>0</v>
      </c>
      <c r="ZO6" s="319">
        <f>COUNTIFS(調査票!$D$60:$D$69,"看護師",調査票!$G$60:$G$69,"非正規雇用",調査票!$N$60:$N$69,"大学")</f>
        <v>0</v>
      </c>
      <c r="ZP6" s="319">
        <f>COUNTIFS(調査票!$D$88:$D$97,"看護師",調査票!$G$88:$G$97,"非正規雇用",調査票!$O$88:$O$97,"大学")</f>
        <v>0</v>
      </c>
      <c r="ZQ6" s="319">
        <f>COUNTIFS(調査票!$D$60:$D$69,"看護師",調査票!$G$60:$G$69,"非正規雇用",調査票!$N$60:$N$69,"短期大学（3年課程）")</f>
        <v>0</v>
      </c>
      <c r="ZR6" s="319">
        <f>COUNTIFS(調査票!$D$88:$D$97,"看護師",調査票!$G$88:$G$97,"非正規雇用",調査票!$O$88:$O$97,"短期大学（3年課程）")</f>
        <v>0</v>
      </c>
      <c r="ZS6" s="319">
        <f>COUNTIFS(調査票!$D$60:$D$69,"看護師",調査票!$G$60:$G$69,"非正規雇用",調査票!$N$60:$N$69,"看護師学校養成所（３年課程、統合カリキュラム）")</f>
        <v>0</v>
      </c>
      <c r="ZT6" s="319">
        <f>COUNTIFS(調査票!$D$88:$D$97,"看護師",調査票!$G$88:$G$97,"非正規雇用",調査票!$O$88:$O$97,"看護師学校養成所（３年課程、統合カリキュラム）")</f>
        <v>0</v>
      </c>
      <c r="ZU6" s="319">
        <f>COUNTIFS(調査票!$D$60:$D$69,"看護師",調査票!$G$60:$G$69,"非正規雇用",調査票!$N$60:$N$69,"看護師学校養成所・短期大学（２年課程）")</f>
        <v>0</v>
      </c>
      <c r="ZV6" s="319">
        <f>COUNTIFS(調査票!$D$88:$D$97,"看護師",調査票!$G$88:$G$97,"非正規雇用",調査票!$O$88:$O$97,"看護師学校養成所・短期大学（２年課程）")</f>
        <v>0</v>
      </c>
      <c r="ZW6" s="319">
        <f>COUNTIFS(調査票!$D$60:$D$69,"看護師",調査票!$G$60:$G$69,"非正規雇用",調査票!$N$60:$N$69,"その他（５年一貫教育・高等学校専攻科 等）")</f>
        <v>0</v>
      </c>
      <c r="ZX6" s="319">
        <f>COUNTIFS(調査票!$D$88:$D$97,"看護師",調査票!$G$88:$G$97,"非正規雇用",調査票!$O$88:$O$97,"その他（５年一貫教育・高等学校専攻科 等）")</f>
        <v>0</v>
      </c>
      <c r="ZY6" s="319">
        <f>COUNTIFS(調査票!$D$60:$D$69,"准看護師",調査票!$G$60:$G$69,"非正規雇用",調査票!$N$60:$N$69,"准看護師養成所")</f>
        <v>0</v>
      </c>
      <c r="ZZ6" s="319">
        <f>COUNTIFS(調査票!$D$88:$D$97,"准看護師",調査票!$G$88:$G$97,"非正規雇用",調査票!$O$88:$O$97,"准看護師養成所")</f>
        <v>0</v>
      </c>
      <c r="AAA6" s="319">
        <f>XW6+YY6</f>
        <v>0</v>
      </c>
      <c r="AAB6" s="319">
        <f t="shared" ref="AAB6:ABB6" si="6">XX6+YZ6</f>
        <v>0</v>
      </c>
      <c r="AAC6" s="319">
        <f t="shared" si="6"/>
        <v>0</v>
      </c>
      <c r="AAD6" s="319">
        <f t="shared" si="6"/>
        <v>0</v>
      </c>
      <c r="AAE6" s="319">
        <f t="shared" si="6"/>
        <v>0</v>
      </c>
      <c r="AAF6" s="319">
        <f>YB6+ZD6</f>
        <v>0</v>
      </c>
      <c r="AAG6" s="319">
        <f t="shared" si="6"/>
        <v>0</v>
      </c>
      <c r="AAH6" s="319">
        <f t="shared" si="6"/>
        <v>0</v>
      </c>
      <c r="AAI6" s="319">
        <f t="shared" si="6"/>
        <v>0</v>
      </c>
      <c r="AAJ6" s="319">
        <f t="shared" si="6"/>
        <v>0</v>
      </c>
      <c r="AAK6" s="319">
        <f t="shared" si="6"/>
        <v>0</v>
      </c>
      <c r="AAL6" s="319">
        <f t="shared" si="6"/>
        <v>0</v>
      </c>
      <c r="AAM6" s="319">
        <f t="shared" si="6"/>
        <v>0</v>
      </c>
      <c r="AAN6" s="319">
        <f t="shared" si="6"/>
        <v>0</v>
      </c>
      <c r="AAO6" s="319">
        <f t="shared" si="6"/>
        <v>0</v>
      </c>
      <c r="AAP6" s="319">
        <f t="shared" si="6"/>
        <v>0</v>
      </c>
      <c r="AAQ6" s="319">
        <f t="shared" si="6"/>
        <v>0</v>
      </c>
      <c r="AAR6" s="319">
        <f t="shared" si="6"/>
        <v>0</v>
      </c>
      <c r="AAS6" s="319">
        <f t="shared" si="6"/>
        <v>0</v>
      </c>
      <c r="AAT6" s="319">
        <f t="shared" si="6"/>
        <v>0</v>
      </c>
      <c r="AAU6" s="319">
        <f t="shared" si="6"/>
        <v>0</v>
      </c>
      <c r="AAV6" s="319">
        <f t="shared" si="6"/>
        <v>0</v>
      </c>
      <c r="AAW6" s="319">
        <f t="shared" si="6"/>
        <v>0</v>
      </c>
      <c r="AAX6" s="319">
        <f t="shared" si="6"/>
        <v>0</v>
      </c>
      <c r="AAY6" s="319">
        <f t="shared" si="6"/>
        <v>0</v>
      </c>
      <c r="AAZ6" s="319">
        <f t="shared" si="6"/>
        <v>0</v>
      </c>
      <c r="ABA6" s="319">
        <f t="shared" si="6"/>
        <v>0</v>
      </c>
      <c r="ABB6" s="319">
        <f t="shared" si="6"/>
        <v>0</v>
      </c>
    </row>
    <row r="7" spans="1:730">
      <c r="DQ7" s="295"/>
      <c r="EA7" s="295"/>
      <c r="EK7" s="6"/>
      <c r="EL7" s="315"/>
    </row>
    <row r="8" spans="1:730">
      <c r="A8" s="11"/>
      <c r="C8" s="11"/>
      <c r="D8" s="11"/>
      <c r="E8" s="11"/>
      <c r="F8" s="11"/>
      <c r="EL8" s="314"/>
      <c r="SH8" s="3"/>
      <c r="SI8" s="3"/>
      <c r="SJ8" s="3"/>
      <c r="SK8" s="3"/>
      <c r="SL8" s="3"/>
      <c r="SM8" s="3"/>
      <c r="SN8" s="3"/>
    </row>
    <row r="9" spans="1:730">
      <c r="GN9" s="9"/>
    </row>
    <row r="10" spans="1:730" s="28" customFormat="1">
      <c r="A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NJ10" s="30"/>
      <c r="NK10" s="30"/>
      <c r="NL10" s="30"/>
      <c r="NM10" s="30"/>
      <c r="NN10" s="30"/>
      <c r="NO10" s="30"/>
      <c r="NP10" s="30"/>
      <c r="NQ10" s="30"/>
      <c r="NR10" s="30"/>
      <c r="NS10" s="30"/>
      <c r="NT10" s="30"/>
      <c r="NU10" s="30"/>
      <c r="NV10" s="30"/>
      <c r="NW10" s="30"/>
      <c r="NX10" s="30"/>
      <c r="SP10" s="30"/>
      <c r="SQ10" s="30"/>
      <c r="SR10" s="30"/>
      <c r="SS10" s="30"/>
      <c r="ST10" s="30"/>
      <c r="SU10" s="30"/>
      <c r="SV10" s="30"/>
      <c r="SW10" s="30"/>
      <c r="SX10" s="30"/>
      <c r="SY10" s="30"/>
      <c r="SZ10" s="30"/>
      <c r="TA10" s="30"/>
      <c r="TB10" s="30"/>
      <c r="TC10" s="30"/>
      <c r="TD10" s="30"/>
    </row>
    <row r="14" spans="1:730" s="27" customFormat="1">
      <c r="A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c r="IN14" s="31"/>
      <c r="IO14" s="31"/>
      <c r="IP14" s="31"/>
      <c r="IQ14" s="31"/>
      <c r="IR14" s="31"/>
      <c r="NJ14" s="31"/>
      <c r="NK14" s="31"/>
      <c r="NL14" s="31"/>
      <c r="NM14" s="31"/>
      <c r="NN14" s="31"/>
      <c r="NO14" s="31"/>
      <c r="NP14" s="31"/>
      <c r="NQ14" s="31"/>
      <c r="NR14" s="31"/>
      <c r="NS14" s="31"/>
      <c r="NT14" s="31"/>
      <c r="NU14" s="31"/>
      <c r="NV14" s="31"/>
      <c r="NW14" s="31"/>
      <c r="NX14" s="31"/>
      <c r="SP14" s="31"/>
      <c r="SQ14" s="31"/>
      <c r="SR14" s="31"/>
      <c r="SS14" s="31"/>
      <c r="ST14" s="31"/>
      <c r="SU14" s="31"/>
      <c r="SV14" s="31"/>
      <c r="SW14" s="31"/>
      <c r="SX14" s="31"/>
      <c r="SY14" s="31"/>
      <c r="SZ14" s="31"/>
      <c r="TA14" s="31"/>
      <c r="TB14" s="31"/>
      <c r="TC14" s="31"/>
      <c r="TD14" s="31"/>
    </row>
  </sheetData>
  <mergeCells count="120">
    <mergeCell ref="IL4:IS4"/>
    <mergeCell ref="IT4:JA4"/>
    <mergeCell ref="MD4:MK4"/>
    <mergeCell ref="LV4:MC4"/>
    <mergeCell ref="LF4:LM4"/>
    <mergeCell ref="LN4:LU4"/>
    <mergeCell ref="JZ4:KG4"/>
    <mergeCell ref="KH4:KO4"/>
    <mergeCell ref="ID3:NI3"/>
    <mergeCell ref="KP4:KW4"/>
    <mergeCell ref="KX4:LE4"/>
    <mergeCell ref="A2:F4"/>
    <mergeCell ref="S2:AD2"/>
    <mergeCell ref="G2:R2"/>
    <mergeCell ref="HI3:HO4"/>
    <mergeCell ref="AE2:AP2"/>
    <mergeCell ref="CY3:DH4"/>
    <mergeCell ref="EM3:ES4"/>
    <mergeCell ref="AE3:AJ4"/>
    <mergeCell ref="AK3:AP4"/>
    <mergeCell ref="CO3:CX4"/>
    <mergeCell ref="AX2:BL2"/>
    <mergeCell ref="BM2:BO4"/>
    <mergeCell ref="BC3:BG4"/>
    <mergeCell ref="BP2:CD2"/>
    <mergeCell ref="CE2:DH2"/>
    <mergeCell ref="EM2:FG2"/>
    <mergeCell ref="EC3:EL4"/>
    <mergeCell ref="DI3:DR4"/>
    <mergeCell ref="DS3:EB4"/>
    <mergeCell ref="DI2:EL2"/>
    <mergeCell ref="G3:L4"/>
    <mergeCell ref="M3:R4"/>
    <mergeCell ref="S3:X4"/>
    <mergeCell ref="Y3:AD4"/>
    <mergeCell ref="BZ3:CD4"/>
    <mergeCell ref="AW2:AW5"/>
    <mergeCell ref="AX3:BB4"/>
    <mergeCell ref="BU3:BY4"/>
    <mergeCell ref="BP3:BT4"/>
    <mergeCell ref="BH3:BL4"/>
    <mergeCell ref="AQ2:AV2"/>
    <mergeCell ref="AQ3:AV4"/>
    <mergeCell ref="FJ2:GM2"/>
    <mergeCell ref="FH2:FI4"/>
    <mergeCell ref="HB3:HH4"/>
    <mergeCell ref="GU3:HA4"/>
    <mergeCell ref="GN2:HH2"/>
    <mergeCell ref="FJ3:FS4"/>
    <mergeCell ref="CE3:CN4"/>
    <mergeCell ref="ET3:EZ4"/>
    <mergeCell ref="FA3:FG4"/>
    <mergeCell ref="GD3:GM4"/>
    <mergeCell ref="FT3:GC4"/>
    <mergeCell ref="GN3:GT4"/>
    <mergeCell ref="HI2:IC2"/>
    <mergeCell ref="ID2:NI2"/>
    <mergeCell ref="SP2:XV2"/>
    <mergeCell ref="SP4:SW4"/>
    <mergeCell ref="SX4:TE4"/>
    <mergeCell ref="TF4:TM4"/>
    <mergeCell ref="TN4:TU4"/>
    <mergeCell ref="TV4:UC4"/>
    <mergeCell ref="UD4:UK4"/>
    <mergeCell ref="UL4:US4"/>
    <mergeCell ref="UT4:VA4"/>
    <mergeCell ref="VB4:VI4"/>
    <mergeCell ref="VJ4:VQ4"/>
    <mergeCell ref="VR4:VY4"/>
    <mergeCell ref="VZ4:WG4"/>
    <mergeCell ref="MT4:NA4"/>
    <mergeCell ref="JB4:JI4"/>
    <mergeCell ref="JJ4:JQ4"/>
    <mergeCell ref="JR4:JY4"/>
    <mergeCell ref="ID4:IK4"/>
    <mergeCell ref="ML4:MS4"/>
    <mergeCell ref="HW3:IC4"/>
    <mergeCell ref="HP3:HV4"/>
    <mergeCell ref="NB4:NI4"/>
    <mergeCell ref="NJ2:SO2"/>
    <mergeCell ref="NJ3:SO3"/>
    <mergeCell ref="NJ4:NQ4"/>
    <mergeCell ref="NR4:NY4"/>
    <mergeCell ref="NZ4:OG4"/>
    <mergeCell ref="OH4:OO4"/>
    <mergeCell ref="OP4:OW4"/>
    <mergeCell ref="OX4:PE4"/>
    <mergeCell ref="PF4:PM4"/>
    <mergeCell ref="PN4:PU4"/>
    <mergeCell ref="PV4:QC4"/>
    <mergeCell ref="QD4:QK4"/>
    <mergeCell ref="RZ4:SG4"/>
    <mergeCell ref="SH4:SO4"/>
    <mergeCell ref="SP3:XV3"/>
    <mergeCell ref="QL4:QS4"/>
    <mergeCell ref="QT4:RA4"/>
    <mergeCell ref="RB4:RI4"/>
    <mergeCell ref="RJ4:RQ4"/>
    <mergeCell ref="RR4:RY4"/>
    <mergeCell ref="WX4:XE4"/>
    <mergeCell ref="XF4:XM4"/>
    <mergeCell ref="XN4:XV4"/>
    <mergeCell ref="WH4:WO4"/>
    <mergeCell ref="WP4:WW4"/>
    <mergeCell ref="AAA3:ABB3"/>
    <mergeCell ref="AAA4:AAJ4"/>
    <mergeCell ref="AAK4:AAP4"/>
    <mergeCell ref="AAQ4:AAZ4"/>
    <mergeCell ref="ABA4:ABB4"/>
    <mergeCell ref="XW2:ABB2"/>
    <mergeCell ref="YY3:ZZ3"/>
    <mergeCell ref="YY4:ZH4"/>
    <mergeCell ref="ZI4:ZN4"/>
    <mergeCell ref="ZO4:ZX4"/>
    <mergeCell ref="ZY4:ZZ4"/>
    <mergeCell ref="YG4:YL4"/>
    <mergeCell ref="YM4:YV4"/>
    <mergeCell ref="YW4:YX4"/>
    <mergeCell ref="XW3:YX3"/>
    <mergeCell ref="XW4:YF4"/>
  </mergeCells>
  <phoneticPr fontId="1"/>
  <conditionalFormatting sqref="EC6:EL6">
    <cfRule type="cellIs" dxfId="3" priority="3" operator="equal">
      <formula>0</formula>
    </cfRule>
  </conditionalFormatting>
  <conditionalFormatting sqref="DI6:DR6">
    <cfRule type="cellIs" dxfId="2" priority="2" operator="equal">
      <formula>0</formula>
    </cfRule>
  </conditionalFormatting>
  <conditionalFormatting sqref="DS6:EB6">
    <cfRule type="cellIs" dxfId="1" priority="1" operator="equal">
      <formula>0</formula>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AB1C-DEE1-4E6A-8D81-5D40E9BD00EF}">
  <dimension ref="A1:FX14"/>
  <sheetViews>
    <sheetView workbookViewId="0">
      <selection activeCell="A6" sqref="A6"/>
    </sheetView>
  </sheetViews>
  <sheetFormatPr defaultRowHeight="18"/>
  <cols>
    <col min="1" max="1" width="14.75" style="3" customWidth="1"/>
    <col min="2" max="51" width="5.08203125" style="3" customWidth="1"/>
    <col min="52" max="52" width="15.58203125" style="3" customWidth="1"/>
    <col min="53" max="54" width="6.25" style="3" customWidth="1"/>
    <col min="55" max="55" width="4.83203125" style="3" customWidth="1"/>
    <col min="56" max="56" width="15.58203125" style="3" customWidth="1"/>
    <col min="57" max="62" width="5.08203125" style="3" customWidth="1"/>
    <col min="63" max="63" width="15.58203125" style="3" customWidth="1"/>
    <col min="64" max="94" width="5.08203125" style="3" customWidth="1"/>
    <col min="95" max="106" width="5.08203125" style="172" customWidth="1"/>
    <col min="107" max="115" width="5.08203125" style="3" customWidth="1"/>
    <col min="116" max="133" width="5.08203125" customWidth="1"/>
    <col min="134" max="134" width="15.58203125" customWidth="1"/>
    <col min="135" max="137" width="5.08203125" customWidth="1"/>
    <col min="138" max="138" width="15.58203125" customWidth="1"/>
    <col min="139" max="145" width="5.08203125" customWidth="1"/>
    <col min="146" max="146" width="15.58203125" customWidth="1"/>
    <col min="147" max="150" width="5.08203125" customWidth="1"/>
    <col min="152" max="165" width="6.25" customWidth="1"/>
    <col min="168" max="172" width="5.58203125" customWidth="1"/>
    <col min="173" max="173" width="14.08203125" customWidth="1"/>
    <col min="174" max="179" width="5.58203125" customWidth="1"/>
    <col min="180" max="180" width="14.58203125" customWidth="1"/>
  </cols>
  <sheetData>
    <row r="1" spans="1:180" ht="47.15" customHeight="1"/>
    <row r="2" spans="1:180" ht="18" customHeight="1">
      <c r="A2" s="420"/>
      <c r="B2" s="734" t="s">
        <v>147</v>
      </c>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34"/>
      <c r="AL2" s="734"/>
      <c r="AM2" s="734"/>
      <c r="AN2" s="734"/>
      <c r="AO2" s="734"/>
      <c r="AP2" s="734"/>
      <c r="AQ2" s="734"/>
      <c r="AR2" s="734"/>
      <c r="AS2" s="734"/>
      <c r="AT2" s="734"/>
      <c r="AU2" s="734"/>
      <c r="AV2" s="734"/>
      <c r="AW2" s="734"/>
      <c r="AX2" s="734"/>
      <c r="AY2" s="734"/>
      <c r="AZ2" s="734"/>
      <c r="BA2" s="734"/>
      <c r="BB2" s="734"/>
      <c r="BC2" s="734"/>
      <c r="BD2" s="734"/>
      <c r="BE2" s="734"/>
      <c r="BF2" s="734"/>
      <c r="BG2" s="734"/>
      <c r="BH2" s="734"/>
      <c r="BI2" s="734"/>
      <c r="BJ2" s="734"/>
      <c r="BK2" s="734"/>
      <c r="BL2" s="731" t="s">
        <v>172</v>
      </c>
      <c r="BM2" s="731"/>
      <c r="BN2" s="731"/>
      <c r="BO2" s="731"/>
      <c r="BP2" s="731"/>
      <c r="BQ2" s="731"/>
      <c r="BR2" s="731"/>
      <c r="BS2" s="731"/>
      <c r="BT2" s="731"/>
      <c r="BU2" s="731"/>
      <c r="BV2" s="731"/>
      <c r="BW2" s="731"/>
      <c r="BX2" s="731"/>
      <c r="BY2" s="731"/>
      <c r="BZ2" s="731"/>
      <c r="CA2" s="731"/>
      <c r="CB2" s="731"/>
      <c r="CC2" s="731"/>
      <c r="CD2" s="731"/>
      <c r="CE2" s="731"/>
      <c r="CF2" s="731"/>
      <c r="CG2" s="731"/>
      <c r="CH2" s="731"/>
      <c r="CI2" s="731"/>
      <c r="CJ2" s="731"/>
      <c r="CK2" s="731"/>
      <c r="CL2" s="731"/>
      <c r="CM2" s="731"/>
      <c r="CN2" s="731"/>
      <c r="CO2" s="731"/>
      <c r="CP2" s="731"/>
      <c r="CQ2" s="731"/>
      <c r="CR2" s="731"/>
      <c r="CS2" s="731"/>
      <c r="CT2" s="731"/>
      <c r="CU2" s="731"/>
      <c r="CV2" s="731"/>
      <c r="CW2" s="731"/>
      <c r="CX2" s="731"/>
      <c r="CY2" s="731"/>
      <c r="CZ2" s="731"/>
      <c r="DA2" s="731"/>
      <c r="DB2" s="731"/>
      <c r="DC2" s="731"/>
      <c r="DD2" s="731"/>
      <c r="DE2" s="731"/>
      <c r="DF2" s="731"/>
      <c r="DG2" s="731"/>
      <c r="DH2" s="731"/>
      <c r="DI2" s="731"/>
      <c r="DJ2" s="731"/>
      <c r="DK2" s="731"/>
      <c r="DL2" s="731"/>
      <c r="DM2" s="731"/>
      <c r="DN2" s="731"/>
      <c r="DO2" s="731"/>
      <c r="DP2" s="731"/>
      <c r="DQ2" s="731"/>
      <c r="DR2" s="731"/>
      <c r="DS2" s="731"/>
      <c r="DT2" s="731"/>
      <c r="DU2" s="731"/>
      <c r="DV2" s="731"/>
      <c r="DW2" s="731"/>
      <c r="DX2" s="731"/>
      <c r="DY2" s="731"/>
      <c r="DZ2" s="731"/>
      <c r="EA2" s="731"/>
      <c r="EB2" s="731"/>
      <c r="EC2" s="731"/>
      <c r="ED2" s="731"/>
      <c r="EE2" s="731"/>
      <c r="EF2" s="731"/>
      <c r="EG2" s="731"/>
      <c r="EH2" s="731"/>
      <c r="EI2" s="731"/>
      <c r="EJ2" s="731"/>
      <c r="EK2" s="731"/>
      <c r="EL2" s="731"/>
      <c r="EM2" s="731"/>
      <c r="EN2" s="731"/>
      <c r="EO2" s="731"/>
      <c r="EP2" s="731"/>
      <c r="EQ2" s="731"/>
      <c r="ER2" s="731"/>
      <c r="ES2" s="731"/>
      <c r="ET2" s="731"/>
      <c r="EU2" s="777" t="s">
        <v>289</v>
      </c>
      <c r="EV2" s="778"/>
      <c r="EW2" s="778"/>
      <c r="EX2" s="778"/>
      <c r="EY2" s="778"/>
      <c r="EZ2" s="778"/>
      <c r="FA2" s="778"/>
      <c r="FB2" s="778"/>
      <c r="FC2" s="778"/>
      <c r="FD2" s="778"/>
      <c r="FE2" s="778"/>
      <c r="FF2" s="778"/>
      <c r="FG2" s="778"/>
      <c r="FH2" s="778"/>
      <c r="FI2" s="779"/>
      <c r="FJ2" s="144" t="s">
        <v>290</v>
      </c>
      <c r="FK2" s="306" t="s">
        <v>544</v>
      </c>
      <c r="FL2" s="756" t="s">
        <v>546</v>
      </c>
      <c r="FM2" s="756"/>
      <c r="FN2" s="756"/>
      <c r="FO2" s="756"/>
      <c r="FP2" s="756"/>
      <c r="FQ2" s="756"/>
      <c r="FR2" s="756"/>
      <c r="FS2" s="756"/>
      <c r="FT2" s="756"/>
      <c r="FU2" s="756"/>
      <c r="FV2" s="756"/>
      <c r="FW2" s="756"/>
      <c r="FX2" s="756"/>
    </row>
    <row r="3" spans="1:180" s="84" customFormat="1" ht="18" customHeight="1">
      <c r="A3" s="420"/>
      <c r="B3" s="83" t="s">
        <v>148</v>
      </c>
      <c r="C3" s="772" t="s">
        <v>149</v>
      </c>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4"/>
      <c r="AR3" s="772" t="s">
        <v>158</v>
      </c>
      <c r="AS3" s="773"/>
      <c r="AT3" s="773"/>
      <c r="AU3" s="773"/>
      <c r="AV3" s="773"/>
      <c r="AW3" s="773"/>
      <c r="AX3" s="773"/>
      <c r="AY3" s="773"/>
      <c r="AZ3" s="774"/>
      <c r="BA3" s="772" t="s">
        <v>162</v>
      </c>
      <c r="BB3" s="773"/>
      <c r="BC3" s="774"/>
      <c r="BD3" s="85" t="s">
        <v>163</v>
      </c>
      <c r="BE3" s="772" t="s">
        <v>165</v>
      </c>
      <c r="BF3" s="773"/>
      <c r="BG3" s="773"/>
      <c r="BH3" s="773"/>
      <c r="BI3" s="773"/>
      <c r="BJ3" s="773"/>
      <c r="BK3" s="774"/>
      <c r="BL3" s="87" t="s">
        <v>148</v>
      </c>
      <c r="BM3" s="790" t="s">
        <v>149</v>
      </c>
      <c r="BN3" s="790"/>
      <c r="BO3" s="790"/>
      <c r="BP3" s="790"/>
      <c r="BQ3" s="790"/>
      <c r="BR3" s="790"/>
      <c r="BS3" s="790"/>
      <c r="BT3" s="790"/>
      <c r="BU3" s="790"/>
      <c r="BV3" s="790"/>
      <c r="BW3" s="790"/>
      <c r="BX3" s="790"/>
      <c r="BY3" s="790"/>
      <c r="BZ3" s="790"/>
      <c r="CA3" s="790"/>
      <c r="CB3" s="790"/>
      <c r="CC3" s="790"/>
      <c r="CD3" s="790"/>
      <c r="CE3" s="790"/>
      <c r="CF3" s="790"/>
      <c r="CG3" s="790"/>
      <c r="CH3" s="790"/>
      <c r="CI3" s="790"/>
      <c r="CJ3" s="790"/>
      <c r="CK3" s="790"/>
      <c r="CL3" s="790"/>
      <c r="CM3" s="790"/>
      <c r="CN3" s="790"/>
      <c r="CO3" s="790"/>
      <c r="CP3" s="790"/>
      <c r="CQ3" s="790"/>
      <c r="CR3" s="790"/>
      <c r="CS3" s="790"/>
      <c r="CT3" s="790"/>
      <c r="CU3" s="790"/>
      <c r="CV3" s="790"/>
      <c r="CW3" s="790"/>
      <c r="CX3" s="790"/>
      <c r="CY3" s="790"/>
      <c r="CZ3" s="790"/>
      <c r="DA3" s="790"/>
      <c r="DB3" s="790"/>
      <c r="DC3" s="790"/>
      <c r="DD3" s="790"/>
      <c r="DE3" s="790"/>
      <c r="DF3" s="790"/>
      <c r="DG3" s="790"/>
      <c r="DH3" s="790"/>
      <c r="DI3" s="790"/>
      <c r="DJ3" s="790"/>
      <c r="DK3" s="790"/>
      <c r="DL3" s="790"/>
      <c r="DM3" s="790"/>
      <c r="DN3" s="790"/>
      <c r="DO3" s="790"/>
      <c r="DP3" s="790"/>
      <c r="DQ3" s="790"/>
      <c r="DR3" s="790"/>
      <c r="DS3" s="790"/>
      <c r="DT3" s="790"/>
      <c r="DU3" s="790"/>
      <c r="DV3" s="790"/>
      <c r="DW3" s="790"/>
      <c r="DX3" s="787" t="s">
        <v>158</v>
      </c>
      <c r="DY3" s="788"/>
      <c r="DZ3" s="788"/>
      <c r="EA3" s="788"/>
      <c r="EB3" s="788"/>
      <c r="EC3" s="788"/>
      <c r="ED3" s="87"/>
      <c r="EE3" s="787" t="s">
        <v>162</v>
      </c>
      <c r="EF3" s="788"/>
      <c r="EG3" s="789"/>
      <c r="EH3" s="88" t="s">
        <v>163</v>
      </c>
      <c r="EI3" s="787" t="s">
        <v>165</v>
      </c>
      <c r="EJ3" s="788"/>
      <c r="EK3" s="788"/>
      <c r="EL3" s="788"/>
      <c r="EM3" s="788"/>
      <c r="EN3" s="788"/>
      <c r="EO3" s="788"/>
      <c r="EP3" s="789"/>
      <c r="EQ3" s="786" t="s">
        <v>180</v>
      </c>
      <c r="ER3" s="786"/>
      <c r="ES3" s="757" t="s">
        <v>183</v>
      </c>
      <c r="ET3" s="757"/>
      <c r="EU3" s="780" t="s">
        <v>145</v>
      </c>
      <c r="EV3" s="783" t="s">
        <v>291</v>
      </c>
      <c r="EW3" s="784"/>
      <c r="EX3" s="784"/>
      <c r="EY3" s="784"/>
      <c r="EZ3" s="784"/>
      <c r="FA3" s="784"/>
      <c r="FB3" s="784"/>
      <c r="FC3" s="784"/>
      <c r="FD3" s="784"/>
      <c r="FE3" s="784"/>
      <c r="FF3" s="784"/>
      <c r="FG3" s="784"/>
      <c r="FH3" s="784"/>
      <c r="FI3" s="785"/>
      <c r="FJ3" s="757" t="s">
        <v>145</v>
      </c>
      <c r="FK3" s="761" t="s">
        <v>545</v>
      </c>
      <c r="FL3" s="764" t="s">
        <v>549</v>
      </c>
      <c r="FM3" s="764"/>
      <c r="FN3" s="757" t="s">
        <v>550</v>
      </c>
      <c r="FO3" s="757"/>
      <c r="FP3" s="757"/>
      <c r="FQ3" s="757"/>
      <c r="FR3" s="757" t="s">
        <v>555</v>
      </c>
      <c r="FS3" s="757"/>
      <c r="FT3" s="757"/>
      <c r="FU3" s="757"/>
      <c r="FV3" s="757"/>
      <c r="FW3" s="757"/>
      <c r="FX3" s="757"/>
    </row>
    <row r="4" spans="1:180" ht="24" customHeight="1">
      <c r="A4" s="747"/>
      <c r="B4" s="766" t="s">
        <v>145</v>
      </c>
      <c r="C4" s="734" t="s">
        <v>62</v>
      </c>
      <c r="D4" s="734"/>
      <c r="E4" s="734"/>
      <c r="F4" s="734"/>
      <c r="G4" s="734"/>
      <c r="H4" s="734"/>
      <c r="I4" s="734"/>
      <c r="J4" s="734"/>
      <c r="K4" s="734"/>
      <c r="L4" s="734"/>
      <c r="M4" s="734"/>
      <c r="N4" s="734"/>
      <c r="O4" s="734"/>
      <c r="P4" s="734"/>
      <c r="Q4" s="734"/>
      <c r="R4" s="734"/>
      <c r="S4" s="734"/>
      <c r="T4" s="734"/>
      <c r="U4" s="734"/>
      <c r="V4" s="734"/>
      <c r="W4" s="734"/>
      <c r="X4" s="734" t="s">
        <v>68</v>
      </c>
      <c r="Y4" s="734"/>
      <c r="Z4" s="734"/>
      <c r="AA4" s="734"/>
      <c r="AB4" s="734"/>
      <c r="AC4" s="734"/>
      <c r="AD4" s="734"/>
      <c r="AE4" s="734"/>
      <c r="AF4" s="734"/>
      <c r="AG4" s="734"/>
      <c r="AH4" s="734"/>
      <c r="AI4" s="734"/>
      <c r="AJ4" s="734"/>
      <c r="AK4" s="734"/>
      <c r="AL4" s="734"/>
      <c r="AM4" s="734"/>
      <c r="AN4" s="734"/>
      <c r="AO4" s="734"/>
      <c r="AP4" s="734"/>
      <c r="AQ4" s="766" t="s">
        <v>146</v>
      </c>
      <c r="AR4" s="766" t="s">
        <v>150</v>
      </c>
      <c r="AS4" s="766" t="s">
        <v>151</v>
      </c>
      <c r="AT4" s="766" t="s">
        <v>152</v>
      </c>
      <c r="AU4" s="766" t="s">
        <v>153</v>
      </c>
      <c r="AV4" s="766" t="s">
        <v>154</v>
      </c>
      <c r="AW4" s="766" t="s">
        <v>155</v>
      </c>
      <c r="AX4" s="766" t="s">
        <v>156</v>
      </c>
      <c r="AY4" s="766" t="s">
        <v>157</v>
      </c>
      <c r="AZ4" s="771" t="s">
        <v>234</v>
      </c>
      <c r="BA4" s="766" t="s">
        <v>159</v>
      </c>
      <c r="BB4" s="766" t="s">
        <v>160</v>
      </c>
      <c r="BC4" s="766" t="s">
        <v>161</v>
      </c>
      <c r="BD4" s="766" t="s">
        <v>164</v>
      </c>
      <c r="BE4" s="766" t="s">
        <v>166</v>
      </c>
      <c r="BF4" s="766" t="s">
        <v>167</v>
      </c>
      <c r="BG4" s="766" t="s">
        <v>168</v>
      </c>
      <c r="BH4" s="766" t="s">
        <v>169</v>
      </c>
      <c r="BI4" s="766" t="s">
        <v>170</v>
      </c>
      <c r="BJ4" s="766" t="s">
        <v>157</v>
      </c>
      <c r="BK4" s="771" t="s">
        <v>233</v>
      </c>
      <c r="BL4" s="759" t="s">
        <v>171</v>
      </c>
      <c r="BM4" s="768" t="s">
        <v>173</v>
      </c>
      <c r="BN4" s="769"/>
      <c r="BO4" s="769"/>
      <c r="BP4" s="769"/>
      <c r="BQ4" s="769"/>
      <c r="BR4" s="769"/>
      <c r="BS4" s="769"/>
      <c r="BT4" s="769"/>
      <c r="BU4" s="769"/>
      <c r="BV4" s="769"/>
      <c r="BW4" s="769"/>
      <c r="BX4" s="769"/>
      <c r="BY4" s="769"/>
      <c r="BZ4" s="769"/>
      <c r="CA4" s="769"/>
      <c r="CB4" s="769"/>
      <c r="CC4" s="769"/>
      <c r="CD4" s="769"/>
      <c r="CE4" s="769"/>
      <c r="CF4" s="769"/>
      <c r="CG4" s="770"/>
      <c r="CH4" s="768" t="s">
        <v>536</v>
      </c>
      <c r="CI4" s="769"/>
      <c r="CJ4" s="769"/>
      <c r="CK4" s="769"/>
      <c r="CL4" s="769"/>
      <c r="CM4" s="769"/>
      <c r="CN4" s="769"/>
      <c r="CO4" s="769"/>
      <c r="CP4" s="769"/>
      <c r="CQ4" s="769"/>
      <c r="CR4" s="769"/>
      <c r="CS4" s="769"/>
      <c r="CT4" s="769"/>
      <c r="CU4" s="769"/>
      <c r="CV4" s="769"/>
      <c r="CW4" s="769"/>
      <c r="CX4" s="769"/>
      <c r="CY4" s="769"/>
      <c r="CZ4" s="769"/>
      <c r="DA4" s="769"/>
      <c r="DB4" s="770"/>
      <c r="DC4" s="768" t="s">
        <v>174</v>
      </c>
      <c r="DD4" s="769"/>
      <c r="DE4" s="769"/>
      <c r="DF4" s="769"/>
      <c r="DG4" s="769"/>
      <c r="DH4" s="769"/>
      <c r="DI4" s="769"/>
      <c r="DJ4" s="769"/>
      <c r="DK4" s="769"/>
      <c r="DL4" s="769"/>
      <c r="DM4" s="769"/>
      <c r="DN4" s="769"/>
      <c r="DO4" s="769"/>
      <c r="DP4" s="769"/>
      <c r="DQ4" s="769"/>
      <c r="DR4" s="769"/>
      <c r="DS4" s="769"/>
      <c r="DT4" s="769"/>
      <c r="DU4" s="769"/>
      <c r="DV4" s="769"/>
      <c r="DW4" s="770"/>
      <c r="DX4" s="759" t="s">
        <v>175</v>
      </c>
      <c r="DY4" s="759" t="s">
        <v>176</v>
      </c>
      <c r="DZ4" s="759" t="s">
        <v>177</v>
      </c>
      <c r="EA4" s="759" t="s">
        <v>178</v>
      </c>
      <c r="EB4" s="759" t="s">
        <v>179</v>
      </c>
      <c r="EC4" s="759" t="s">
        <v>157</v>
      </c>
      <c r="ED4" s="759" t="s">
        <v>234</v>
      </c>
      <c r="EE4" s="759" t="s">
        <v>159</v>
      </c>
      <c r="EF4" s="759" t="s">
        <v>160</v>
      </c>
      <c r="EG4" s="759" t="s">
        <v>161</v>
      </c>
      <c r="EH4" s="759" t="s">
        <v>164</v>
      </c>
      <c r="EI4" s="759" t="s">
        <v>166</v>
      </c>
      <c r="EJ4" s="759" t="s">
        <v>167</v>
      </c>
      <c r="EK4" s="759" t="s">
        <v>168</v>
      </c>
      <c r="EL4" s="759" t="s">
        <v>169</v>
      </c>
      <c r="EM4" s="759" t="s">
        <v>190</v>
      </c>
      <c r="EN4" s="759" t="s">
        <v>170</v>
      </c>
      <c r="EO4" s="759" t="s">
        <v>157</v>
      </c>
      <c r="EP4" s="775" t="s">
        <v>302</v>
      </c>
      <c r="EQ4" s="759" t="s">
        <v>188</v>
      </c>
      <c r="ER4" s="759" t="s">
        <v>189</v>
      </c>
      <c r="ES4" s="759" t="s">
        <v>181</v>
      </c>
      <c r="ET4" s="759" t="s">
        <v>182</v>
      </c>
      <c r="EU4" s="781"/>
      <c r="EV4" s="765" t="s">
        <v>292</v>
      </c>
      <c r="EW4" s="765" t="s">
        <v>39</v>
      </c>
      <c r="EX4" s="765" t="s">
        <v>293</v>
      </c>
      <c r="EY4" s="765" t="s">
        <v>294</v>
      </c>
      <c r="EZ4" s="765" t="s">
        <v>56</v>
      </c>
      <c r="FA4" s="765" t="s">
        <v>295</v>
      </c>
      <c r="FB4" s="776" t="s">
        <v>296</v>
      </c>
      <c r="FC4" s="776" t="s">
        <v>297</v>
      </c>
      <c r="FD4" s="765" t="s">
        <v>298</v>
      </c>
      <c r="FE4" s="765" t="s">
        <v>299</v>
      </c>
      <c r="FF4" s="765" t="s">
        <v>65</v>
      </c>
      <c r="FG4" s="765" t="s">
        <v>300</v>
      </c>
      <c r="FH4" s="765" t="s">
        <v>301</v>
      </c>
      <c r="FI4" s="765" t="s">
        <v>59</v>
      </c>
      <c r="FJ4" s="757"/>
      <c r="FK4" s="762"/>
      <c r="FL4" s="764" t="s">
        <v>547</v>
      </c>
      <c r="FM4" s="764" t="s">
        <v>548</v>
      </c>
      <c r="FN4" s="758" t="s">
        <v>551</v>
      </c>
      <c r="FO4" s="758" t="s">
        <v>552</v>
      </c>
      <c r="FP4" s="758" t="s">
        <v>553</v>
      </c>
      <c r="FQ4" s="758" t="s">
        <v>554</v>
      </c>
      <c r="FR4" s="756" t="s">
        <v>551</v>
      </c>
      <c r="FS4" s="756"/>
      <c r="FT4" s="756" t="s">
        <v>552</v>
      </c>
      <c r="FU4" s="756"/>
      <c r="FV4" s="756" t="s">
        <v>553</v>
      </c>
      <c r="FW4" s="756"/>
      <c r="FX4" s="756"/>
    </row>
    <row r="5" spans="1:180" s="28" customFormat="1" ht="24">
      <c r="A5" s="29" t="s">
        <v>0</v>
      </c>
      <c r="B5" s="767"/>
      <c r="C5" s="33" t="s">
        <v>41</v>
      </c>
      <c r="D5" s="33" t="s">
        <v>42</v>
      </c>
      <c r="E5" s="33" t="s">
        <v>43</v>
      </c>
      <c r="F5" s="33" t="s">
        <v>44</v>
      </c>
      <c r="G5" s="32" t="s">
        <v>45</v>
      </c>
      <c r="H5" s="33" t="s">
        <v>46</v>
      </c>
      <c r="I5" s="33" t="s">
        <v>47</v>
      </c>
      <c r="J5" s="33" t="s">
        <v>48</v>
      </c>
      <c r="K5" s="33" t="s">
        <v>49</v>
      </c>
      <c r="L5" s="33" t="s">
        <v>50</v>
      </c>
      <c r="M5" s="33" t="s">
        <v>51</v>
      </c>
      <c r="N5" s="33" t="s">
        <v>52</v>
      </c>
      <c r="O5" s="33" t="s">
        <v>53</v>
      </c>
      <c r="P5" s="33" t="s">
        <v>54</v>
      </c>
      <c r="Q5" s="33" t="s">
        <v>55</v>
      </c>
      <c r="R5" s="33" t="s">
        <v>56</v>
      </c>
      <c r="S5" s="33" t="s">
        <v>57</v>
      </c>
      <c r="T5" s="33" t="s">
        <v>58</v>
      </c>
      <c r="U5" s="33" t="s">
        <v>59</v>
      </c>
      <c r="V5" s="33" t="s">
        <v>60</v>
      </c>
      <c r="W5" s="33" t="s">
        <v>61</v>
      </c>
      <c r="X5" s="33" t="s">
        <v>63</v>
      </c>
      <c r="Y5" s="33" t="s">
        <v>43</v>
      </c>
      <c r="Z5" s="33" t="s">
        <v>44</v>
      </c>
      <c r="AA5" s="33" t="s">
        <v>64</v>
      </c>
      <c r="AB5" s="33" t="s">
        <v>65</v>
      </c>
      <c r="AC5" s="33" t="s">
        <v>48</v>
      </c>
      <c r="AD5" s="33" t="s">
        <v>49</v>
      </c>
      <c r="AE5" s="33" t="s">
        <v>66</v>
      </c>
      <c r="AF5" s="33" t="s">
        <v>51</v>
      </c>
      <c r="AG5" s="33" t="s">
        <v>67</v>
      </c>
      <c r="AH5" s="33" t="s">
        <v>53</v>
      </c>
      <c r="AI5" s="33" t="s">
        <v>54</v>
      </c>
      <c r="AJ5" s="33" t="s">
        <v>55</v>
      </c>
      <c r="AK5" s="33" t="s">
        <v>56</v>
      </c>
      <c r="AL5" s="33" t="s">
        <v>57</v>
      </c>
      <c r="AM5" s="33" t="s">
        <v>58</v>
      </c>
      <c r="AN5" s="33" t="s">
        <v>59</v>
      </c>
      <c r="AO5" s="33" t="s">
        <v>60</v>
      </c>
      <c r="AP5" s="33" t="s">
        <v>61</v>
      </c>
      <c r="AQ5" s="767"/>
      <c r="AR5" s="767"/>
      <c r="AS5" s="767"/>
      <c r="AT5" s="767"/>
      <c r="AU5" s="767"/>
      <c r="AV5" s="767"/>
      <c r="AW5" s="767"/>
      <c r="AX5" s="767"/>
      <c r="AY5" s="767"/>
      <c r="AZ5" s="721"/>
      <c r="BA5" s="767"/>
      <c r="BB5" s="767"/>
      <c r="BC5" s="767"/>
      <c r="BD5" s="767"/>
      <c r="BE5" s="767"/>
      <c r="BF5" s="767"/>
      <c r="BG5" s="767"/>
      <c r="BH5" s="767"/>
      <c r="BI5" s="767"/>
      <c r="BJ5" s="767"/>
      <c r="BK5" s="721"/>
      <c r="BL5" s="760"/>
      <c r="BM5" s="86" t="s">
        <v>69</v>
      </c>
      <c r="BN5" s="86" t="s">
        <v>70</v>
      </c>
      <c r="BO5" s="86" t="s">
        <v>71</v>
      </c>
      <c r="BP5" s="86" t="s">
        <v>72</v>
      </c>
      <c r="BQ5" s="86" t="s">
        <v>73</v>
      </c>
      <c r="BR5" s="86" t="s">
        <v>74</v>
      </c>
      <c r="BS5" s="86" t="s">
        <v>75</v>
      </c>
      <c r="BT5" s="86" t="s">
        <v>76</v>
      </c>
      <c r="BU5" s="86" t="s">
        <v>77</v>
      </c>
      <c r="BV5" s="86" t="s">
        <v>78</v>
      </c>
      <c r="BW5" s="86" t="s">
        <v>79</v>
      </c>
      <c r="BX5" s="86" t="s">
        <v>80</v>
      </c>
      <c r="BY5" s="86" t="s">
        <v>81</v>
      </c>
      <c r="BZ5" s="86" t="s">
        <v>52</v>
      </c>
      <c r="CA5" s="86" t="s">
        <v>82</v>
      </c>
      <c r="CB5" s="86" t="s">
        <v>48</v>
      </c>
      <c r="CC5" s="86" t="s">
        <v>83</v>
      </c>
      <c r="CD5" s="86" t="s">
        <v>84</v>
      </c>
      <c r="CE5" s="86" t="s">
        <v>85</v>
      </c>
      <c r="CF5" s="86" t="s">
        <v>39</v>
      </c>
      <c r="CG5" s="86" t="s">
        <v>86</v>
      </c>
      <c r="CH5" s="86" t="s">
        <v>69</v>
      </c>
      <c r="CI5" s="86" t="s">
        <v>70</v>
      </c>
      <c r="CJ5" s="86" t="s">
        <v>71</v>
      </c>
      <c r="CK5" s="86" t="s">
        <v>72</v>
      </c>
      <c r="CL5" s="86" t="s">
        <v>73</v>
      </c>
      <c r="CM5" s="86" t="s">
        <v>74</v>
      </c>
      <c r="CN5" s="86" t="s">
        <v>75</v>
      </c>
      <c r="CO5" s="86" t="s">
        <v>76</v>
      </c>
      <c r="CP5" s="86" t="s">
        <v>77</v>
      </c>
      <c r="CQ5" s="86" t="s">
        <v>78</v>
      </c>
      <c r="CR5" s="86" t="s">
        <v>79</v>
      </c>
      <c r="CS5" s="86" t="s">
        <v>80</v>
      </c>
      <c r="CT5" s="86" t="s">
        <v>81</v>
      </c>
      <c r="CU5" s="86" t="s">
        <v>52</v>
      </c>
      <c r="CV5" s="86" t="s">
        <v>82</v>
      </c>
      <c r="CW5" s="86" t="s">
        <v>48</v>
      </c>
      <c r="CX5" s="86" t="s">
        <v>83</v>
      </c>
      <c r="CY5" s="86" t="s">
        <v>84</v>
      </c>
      <c r="CZ5" s="86" t="s">
        <v>85</v>
      </c>
      <c r="DA5" s="86" t="s">
        <v>39</v>
      </c>
      <c r="DB5" s="86" t="s">
        <v>86</v>
      </c>
      <c r="DC5" s="86" t="s">
        <v>69</v>
      </c>
      <c r="DD5" s="86" t="s">
        <v>70</v>
      </c>
      <c r="DE5" s="86" t="s">
        <v>71</v>
      </c>
      <c r="DF5" s="86" t="s">
        <v>72</v>
      </c>
      <c r="DG5" s="86" t="s">
        <v>73</v>
      </c>
      <c r="DH5" s="86" t="s">
        <v>74</v>
      </c>
      <c r="DI5" s="86" t="s">
        <v>75</v>
      </c>
      <c r="DJ5" s="86" t="s">
        <v>76</v>
      </c>
      <c r="DK5" s="86" t="s">
        <v>77</v>
      </c>
      <c r="DL5" s="86" t="s">
        <v>78</v>
      </c>
      <c r="DM5" s="86" t="s">
        <v>79</v>
      </c>
      <c r="DN5" s="86" t="s">
        <v>80</v>
      </c>
      <c r="DO5" s="86" t="s">
        <v>81</v>
      </c>
      <c r="DP5" s="86" t="s">
        <v>52</v>
      </c>
      <c r="DQ5" s="86" t="s">
        <v>82</v>
      </c>
      <c r="DR5" s="86" t="s">
        <v>48</v>
      </c>
      <c r="DS5" s="86" t="s">
        <v>83</v>
      </c>
      <c r="DT5" s="86" t="s">
        <v>84</v>
      </c>
      <c r="DU5" s="86" t="s">
        <v>85</v>
      </c>
      <c r="DV5" s="86" t="s">
        <v>39</v>
      </c>
      <c r="DW5" s="86" t="s">
        <v>86</v>
      </c>
      <c r="DX5" s="760"/>
      <c r="DY5" s="760"/>
      <c r="DZ5" s="760"/>
      <c r="EA5" s="760"/>
      <c r="EB5" s="760"/>
      <c r="EC5" s="760"/>
      <c r="ED5" s="760"/>
      <c r="EE5" s="760"/>
      <c r="EF5" s="760"/>
      <c r="EG5" s="760"/>
      <c r="EH5" s="760"/>
      <c r="EI5" s="760"/>
      <c r="EJ5" s="760"/>
      <c r="EK5" s="760"/>
      <c r="EL5" s="760"/>
      <c r="EM5" s="760"/>
      <c r="EN5" s="760"/>
      <c r="EO5" s="760"/>
      <c r="EP5" s="723"/>
      <c r="EQ5" s="760"/>
      <c r="ER5" s="760"/>
      <c r="ES5" s="760"/>
      <c r="ET5" s="760"/>
      <c r="EU5" s="782"/>
      <c r="EV5" s="765"/>
      <c r="EW5" s="765"/>
      <c r="EX5" s="765"/>
      <c r="EY5" s="765"/>
      <c r="EZ5" s="765"/>
      <c r="FA5" s="765"/>
      <c r="FB5" s="765"/>
      <c r="FC5" s="765"/>
      <c r="FD5" s="765"/>
      <c r="FE5" s="765"/>
      <c r="FF5" s="765"/>
      <c r="FG5" s="765"/>
      <c r="FH5" s="765"/>
      <c r="FI5" s="765"/>
      <c r="FJ5" s="757"/>
      <c r="FK5" s="763"/>
      <c r="FL5" s="764"/>
      <c r="FM5" s="764"/>
      <c r="FN5" s="758"/>
      <c r="FO5" s="758"/>
      <c r="FP5" s="758"/>
      <c r="FQ5" s="758"/>
      <c r="FR5" s="91" t="s">
        <v>556</v>
      </c>
      <c r="FS5" s="91" t="s">
        <v>557</v>
      </c>
      <c r="FT5" s="91" t="s">
        <v>556</v>
      </c>
      <c r="FU5" s="91" t="s">
        <v>557</v>
      </c>
      <c r="FV5" s="91" t="s">
        <v>556</v>
      </c>
      <c r="FW5" s="91" t="s">
        <v>557</v>
      </c>
      <c r="FX5" s="91" t="s">
        <v>554</v>
      </c>
    </row>
    <row r="6" spans="1:180" ht="26.15" customHeight="1">
      <c r="A6" s="319">
        <f>調査票!E13</f>
        <v>0</v>
      </c>
      <c r="B6" s="319">
        <f>調査票!E109</f>
        <v>0</v>
      </c>
      <c r="C6" s="319">
        <f>調査票!D115</f>
        <v>0</v>
      </c>
      <c r="D6" s="319">
        <f>調査票!D116</f>
        <v>0</v>
      </c>
      <c r="E6" s="319">
        <f>調査票!D117</f>
        <v>0</v>
      </c>
      <c r="F6" s="319">
        <f>調査票!D118</f>
        <v>0</v>
      </c>
      <c r="G6" s="319">
        <f>調査票!D119</f>
        <v>0</v>
      </c>
      <c r="H6" s="319">
        <f>調査票!D120</f>
        <v>0</v>
      </c>
      <c r="I6" s="319">
        <f>調査票!D121</f>
        <v>0</v>
      </c>
      <c r="J6" s="319">
        <f>調査票!D122</f>
        <v>0</v>
      </c>
      <c r="K6" s="319">
        <f>調査票!D123</f>
        <v>0</v>
      </c>
      <c r="L6" s="319">
        <f>調査票!D124</f>
        <v>0</v>
      </c>
      <c r="M6" s="319">
        <f>調査票!D125</f>
        <v>0</v>
      </c>
      <c r="N6" s="319">
        <f>調査票!H115</f>
        <v>0</v>
      </c>
      <c r="O6" s="319">
        <f>調査票!H116</f>
        <v>0</v>
      </c>
      <c r="P6" s="319">
        <f>調査票!H117</f>
        <v>0</v>
      </c>
      <c r="Q6" s="319">
        <f>調査票!H118</f>
        <v>0</v>
      </c>
      <c r="R6" s="319">
        <f>調査票!H119</f>
        <v>0</v>
      </c>
      <c r="S6" s="319">
        <f>調査票!H120</f>
        <v>0</v>
      </c>
      <c r="T6" s="319">
        <f>調査票!H121</f>
        <v>0</v>
      </c>
      <c r="U6" s="319">
        <f>調査票!H122</f>
        <v>0</v>
      </c>
      <c r="V6" s="319">
        <f>調査票!H123</f>
        <v>0</v>
      </c>
      <c r="W6" s="319">
        <f>調査票!H124</f>
        <v>0</v>
      </c>
      <c r="X6" s="319">
        <f>調査票!L115</f>
        <v>0</v>
      </c>
      <c r="Y6" s="319">
        <f>調査票!L116</f>
        <v>0</v>
      </c>
      <c r="Z6" s="319">
        <f>調査票!L117</f>
        <v>0</v>
      </c>
      <c r="AA6" s="319">
        <f>調査票!L118</f>
        <v>0</v>
      </c>
      <c r="AB6" s="319">
        <f>調査票!L119</f>
        <v>0</v>
      </c>
      <c r="AC6" s="319">
        <f>調査票!L120</f>
        <v>0</v>
      </c>
      <c r="AD6" s="319">
        <f>調査票!L121</f>
        <v>0</v>
      </c>
      <c r="AE6" s="319">
        <f>調査票!L122</f>
        <v>0</v>
      </c>
      <c r="AF6" s="319">
        <f>調査票!L123</f>
        <v>0</v>
      </c>
      <c r="AG6" s="319">
        <f>調査票!P115</f>
        <v>0</v>
      </c>
      <c r="AH6" s="319">
        <f>調査票!P116</f>
        <v>0</v>
      </c>
      <c r="AI6" s="319">
        <f>調査票!P117</f>
        <v>0</v>
      </c>
      <c r="AJ6" s="319">
        <f>調査票!P118</f>
        <v>0</v>
      </c>
      <c r="AK6" s="319">
        <f>調査票!P119</f>
        <v>0</v>
      </c>
      <c r="AL6" s="319">
        <f>調査票!P120</f>
        <v>0</v>
      </c>
      <c r="AM6" s="319">
        <f>調査票!P121</f>
        <v>0</v>
      </c>
      <c r="AN6" s="319">
        <f>調査票!P122</f>
        <v>0</v>
      </c>
      <c r="AO6" s="319">
        <f>調査票!P123</f>
        <v>0</v>
      </c>
      <c r="AP6" s="319">
        <f>調査票!P124</f>
        <v>0</v>
      </c>
      <c r="AQ6" s="319">
        <f>調査票!D127</f>
        <v>0</v>
      </c>
      <c r="AR6" s="324">
        <f>調査票!A130</f>
        <v>0</v>
      </c>
      <c r="AS6" s="324">
        <f>調査票!A131</f>
        <v>0</v>
      </c>
      <c r="AT6" s="324">
        <f>調査票!A132</f>
        <v>0</v>
      </c>
      <c r="AU6" s="324">
        <f>調査票!A133</f>
        <v>0</v>
      </c>
      <c r="AV6" s="324">
        <f>調査票!A134</f>
        <v>0</v>
      </c>
      <c r="AW6" s="324">
        <f>調査票!A135</f>
        <v>0</v>
      </c>
      <c r="AX6" s="324">
        <f>調査票!A136</f>
        <v>0</v>
      </c>
      <c r="AY6" s="324">
        <f>調査票!A137</f>
        <v>0</v>
      </c>
      <c r="AZ6" s="319">
        <f>調査票!D137</f>
        <v>0</v>
      </c>
      <c r="BA6" s="324">
        <f>調査票!A141</f>
        <v>0</v>
      </c>
      <c r="BB6" s="324">
        <f>調査票!A142</f>
        <v>0</v>
      </c>
      <c r="BC6" s="324">
        <f>調査票!A143</f>
        <v>0</v>
      </c>
      <c r="BD6" s="319">
        <f>調査票!A147</f>
        <v>0</v>
      </c>
      <c r="BE6" s="324">
        <f>調査票!A150</f>
        <v>0</v>
      </c>
      <c r="BF6" s="324">
        <f>調査票!A151</f>
        <v>0</v>
      </c>
      <c r="BG6" s="324">
        <f>調査票!A152</f>
        <v>0</v>
      </c>
      <c r="BH6" s="324">
        <f>調査票!A153</f>
        <v>0</v>
      </c>
      <c r="BI6" s="324">
        <f>調査票!A154</f>
        <v>0</v>
      </c>
      <c r="BJ6" s="324">
        <f>調査票!A155</f>
        <v>0</v>
      </c>
      <c r="BK6" s="319">
        <f>調査票!D155</f>
        <v>0</v>
      </c>
      <c r="BL6" s="319">
        <f>調査票!E159</f>
        <v>0</v>
      </c>
      <c r="BM6" s="319">
        <f>調査票!F166</f>
        <v>0</v>
      </c>
      <c r="BN6" s="319">
        <f>調査票!F167</f>
        <v>0</v>
      </c>
      <c r="BO6" s="319">
        <f>調査票!F168</f>
        <v>0</v>
      </c>
      <c r="BP6" s="319">
        <f>調査票!F169</f>
        <v>0</v>
      </c>
      <c r="BQ6" s="319">
        <f>調査票!F170</f>
        <v>0</v>
      </c>
      <c r="BR6" s="319">
        <f>調査票!F171</f>
        <v>0</v>
      </c>
      <c r="BS6" s="319">
        <f>調査票!F172</f>
        <v>0</v>
      </c>
      <c r="BT6" s="319">
        <f>調査票!F173</f>
        <v>0</v>
      </c>
      <c r="BU6" s="319">
        <f>調査票!F174</f>
        <v>0</v>
      </c>
      <c r="BV6" s="319">
        <f>調査票!F175</f>
        <v>0</v>
      </c>
      <c r="BW6" s="319">
        <f>調査票!F176</f>
        <v>0</v>
      </c>
      <c r="BX6" s="319">
        <f>調査票!N166</f>
        <v>0</v>
      </c>
      <c r="BY6" s="319">
        <f>調査票!N167</f>
        <v>0</v>
      </c>
      <c r="BZ6" s="319">
        <f>調査票!N168</f>
        <v>0</v>
      </c>
      <c r="CA6" s="319">
        <f>調査票!N169</f>
        <v>0</v>
      </c>
      <c r="CB6" s="319">
        <f>調査票!N170</f>
        <v>0</v>
      </c>
      <c r="CC6" s="319">
        <f>調査票!N171</f>
        <v>0</v>
      </c>
      <c r="CD6" s="319">
        <f>調査票!N172</f>
        <v>0</v>
      </c>
      <c r="CE6" s="319">
        <f>調査票!N173</f>
        <v>0</v>
      </c>
      <c r="CF6" s="319">
        <f>調査票!N174</f>
        <v>0</v>
      </c>
      <c r="CG6" s="319">
        <f>調査票!N175</f>
        <v>0</v>
      </c>
      <c r="CH6" s="338">
        <f>調査票!G166</f>
        <v>0</v>
      </c>
      <c r="CI6" s="338">
        <f>調査票!G167</f>
        <v>0</v>
      </c>
      <c r="CJ6" s="338">
        <f>調査票!G168</f>
        <v>0</v>
      </c>
      <c r="CK6" s="338">
        <f>調査票!G169</f>
        <v>0</v>
      </c>
      <c r="CL6" s="338">
        <f>調査票!G170</f>
        <v>0</v>
      </c>
      <c r="CM6" s="338">
        <f>調査票!G171</f>
        <v>0</v>
      </c>
      <c r="CN6" s="338">
        <f>調査票!G172</f>
        <v>0</v>
      </c>
      <c r="CO6" s="338">
        <f>調査票!G173</f>
        <v>0</v>
      </c>
      <c r="CP6" s="338">
        <f>調査票!G174</f>
        <v>0</v>
      </c>
      <c r="CQ6" s="338">
        <f>調査票!G175</f>
        <v>0</v>
      </c>
      <c r="CR6" s="338">
        <f>調査票!G176</f>
        <v>0</v>
      </c>
      <c r="CS6" s="338">
        <f>調査票!O166</f>
        <v>0</v>
      </c>
      <c r="CT6" s="338">
        <f>調査票!O167</f>
        <v>0</v>
      </c>
      <c r="CU6" s="338">
        <f>調査票!O168</f>
        <v>0</v>
      </c>
      <c r="CV6" s="338">
        <f>調査票!O169</f>
        <v>0</v>
      </c>
      <c r="CW6" s="338">
        <f>調査票!O170</f>
        <v>0</v>
      </c>
      <c r="CX6" s="338">
        <f>調査票!O171</f>
        <v>0</v>
      </c>
      <c r="CY6" s="338">
        <f>調査票!O172</f>
        <v>0</v>
      </c>
      <c r="CZ6" s="338">
        <f>調査票!O173</f>
        <v>0</v>
      </c>
      <c r="DA6" s="338">
        <f>調査票!O174</f>
        <v>0</v>
      </c>
      <c r="DB6" s="338">
        <f>調査票!O175</f>
        <v>0</v>
      </c>
      <c r="DC6" s="338">
        <f>調査票!H166</f>
        <v>0</v>
      </c>
      <c r="DD6" s="338">
        <f>調査票!H167</f>
        <v>0</v>
      </c>
      <c r="DE6" s="338">
        <f>調査票!H168</f>
        <v>0</v>
      </c>
      <c r="DF6" s="338">
        <f>調査票!H169</f>
        <v>0</v>
      </c>
      <c r="DG6" s="338">
        <f>調査票!H170</f>
        <v>0</v>
      </c>
      <c r="DH6" s="338">
        <f>調査票!H171</f>
        <v>0</v>
      </c>
      <c r="DI6" s="338">
        <f>調査票!H172</f>
        <v>0</v>
      </c>
      <c r="DJ6" s="324">
        <f>調査票!H173</f>
        <v>0</v>
      </c>
      <c r="DK6" s="324">
        <f>調査票!H174</f>
        <v>0</v>
      </c>
      <c r="DL6" s="324">
        <f>調査票!H175</f>
        <v>0</v>
      </c>
      <c r="DM6" s="324">
        <f>調査票!H176</f>
        <v>0</v>
      </c>
      <c r="DN6" s="324">
        <f>調査票!P166</f>
        <v>0</v>
      </c>
      <c r="DO6" s="324">
        <f>調査票!P167</f>
        <v>0</v>
      </c>
      <c r="DP6" s="324">
        <f>調査票!P168</f>
        <v>0</v>
      </c>
      <c r="DQ6" s="324">
        <f>調査票!P169</f>
        <v>0</v>
      </c>
      <c r="DR6" s="324">
        <f>調査票!P170</f>
        <v>0</v>
      </c>
      <c r="DS6" s="324">
        <f>調査票!P171</f>
        <v>0</v>
      </c>
      <c r="DT6" s="324">
        <f>調査票!P172</f>
        <v>0</v>
      </c>
      <c r="DU6" s="324">
        <f>調査票!P173</f>
        <v>0</v>
      </c>
      <c r="DV6" s="324">
        <f>調査票!P174</f>
        <v>0</v>
      </c>
      <c r="DW6" s="324">
        <f>調査票!P175</f>
        <v>0</v>
      </c>
      <c r="DX6" s="324">
        <f>調査票!A182</f>
        <v>0</v>
      </c>
      <c r="DY6" s="324">
        <f>調査票!A183</f>
        <v>0</v>
      </c>
      <c r="DZ6" s="324">
        <f>調査票!A184</f>
        <v>0</v>
      </c>
      <c r="EA6" s="324">
        <f>調査票!A185</f>
        <v>0</v>
      </c>
      <c r="EB6" s="324">
        <f>調査票!A186</f>
        <v>0</v>
      </c>
      <c r="EC6" s="324">
        <f>調査票!A187</f>
        <v>0</v>
      </c>
      <c r="ED6" s="319">
        <f>調査票!D187</f>
        <v>0</v>
      </c>
      <c r="EE6" s="324">
        <f>調査票!A191</f>
        <v>0</v>
      </c>
      <c r="EF6" s="324">
        <f>調査票!A192</f>
        <v>0</v>
      </c>
      <c r="EG6" s="324">
        <f>調査票!A193</f>
        <v>0</v>
      </c>
      <c r="EH6" s="339">
        <f>調査票!A197</f>
        <v>0</v>
      </c>
      <c r="EI6" s="324">
        <f>調査票!A200</f>
        <v>0</v>
      </c>
      <c r="EJ6" s="324">
        <f>調査票!A201</f>
        <v>0</v>
      </c>
      <c r="EK6" s="324">
        <f>調査票!A202</f>
        <v>0</v>
      </c>
      <c r="EL6" s="324">
        <f>調査票!A203</f>
        <v>0</v>
      </c>
      <c r="EM6" s="324">
        <f>調査票!A204</f>
        <v>0</v>
      </c>
      <c r="EN6" s="324">
        <f>調査票!A205</f>
        <v>0</v>
      </c>
      <c r="EO6" s="324">
        <f>調査票!A206</f>
        <v>0</v>
      </c>
      <c r="EP6" s="319">
        <f>調査票!D206</f>
        <v>0</v>
      </c>
      <c r="EQ6" s="324">
        <f>調査票!A209</f>
        <v>0</v>
      </c>
      <c r="ER6" s="324">
        <f>調査票!A210</f>
        <v>0</v>
      </c>
      <c r="ES6" s="324">
        <f>調査票!A213</f>
        <v>0</v>
      </c>
      <c r="ET6" s="324">
        <f>調査票!A214</f>
        <v>0</v>
      </c>
      <c r="EU6" s="324">
        <f>調査票!E218</f>
        <v>0</v>
      </c>
      <c r="EV6" s="324">
        <f>調査票!D222</f>
        <v>0</v>
      </c>
      <c r="EW6" s="324">
        <f>調査票!D223</f>
        <v>0</v>
      </c>
      <c r="EX6" s="324">
        <f>調査票!D224</f>
        <v>0</v>
      </c>
      <c r="EY6" s="324">
        <f>調査票!D225</f>
        <v>0</v>
      </c>
      <c r="EZ6" s="324">
        <f>調査票!D226</f>
        <v>0</v>
      </c>
      <c r="FA6" s="324">
        <f>調査票!H222</f>
        <v>0</v>
      </c>
      <c r="FB6" s="324">
        <f>調査票!H223</f>
        <v>0</v>
      </c>
      <c r="FC6" s="324">
        <f>調査票!H224</f>
        <v>0</v>
      </c>
      <c r="FD6" s="324">
        <f>調査票!H225</f>
        <v>0</v>
      </c>
      <c r="FE6" s="324">
        <f>調査票!H226</f>
        <v>0</v>
      </c>
      <c r="FF6" s="324">
        <f>調査票!L222</f>
        <v>0</v>
      </c>
      <c r="FG6" s="324">
        <f>調査票!L223</f>
        <v>0</v>
      </c>
      <c r="FH6" s="324">
        <f>調査票!L224</f>
        <v>0</v>
      </c>
      <c r="FI6" s="324">
        <f>調査票!L225</f>
        <v>0</v>
      </c>
      <c r="FJ6" s="324">
        <f>調査票!E229</f>
        <v>0</v>
      </c>
      <c r="FK6" s="340">
        <f>調査票!E232</f>
        <v>0</v>
      </c>
      <c r="FL6" s="340">
        <f>調査票!A236</f>
        <v>0</v>
      </c>
      <c r="FM6" s="340">
        <f>調査票!A237</f>
        <v>0</v>
      </c>
      <c r="FN6" s="340">
        <f>調査票!A240</f>
        <v>0</v>
      </c>
      <c r="FO6" s="340">
        <f>調査票!A241</f>
        <v>0</v>
      </c>
      <c r="FP6" s="340">
        <f>調査票!A242</f>
        <v>0</v>
      </c>
      <c r="FQ6" s="340">
        <f>調査票!D242</f>
        <v>0</v>
      </c>
      <c r="FR6" s="340">
        <f>調査票!J247</f>
        <v>0</v>
      </c>
      <c r="FS6" s="340">
        <f>調査票!K247</f>
        <v>0</v>
      </c>
      <c r="FT6" s="340">
        <f>調査票!J248</f>
        <v>0</v>
      </c>
      <c r="FU6" s="340">
        <f>調査票!K248</f>
        <v>0</v>
      </c>
      <c r="FV6" s="340">
        <f>調査票!J249</f>
        <v>0</v>
      </c>
      <c r="FW6" s="340">
        <f>調査票!K249</f>
        <v>0</v>
      </c>
      <c r="FX6" s="340">
        <f>調査票!C249</f>
        <v>0</v>
      </c>
    </row>
    <row r="8" spans="1:180">
      <c r="A8" s="11"/>
      <c r="B8" s="11"/>
    </row>
    <row r="10" spans="1:180" s="28" customForma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DC10" s="30"/>
      <c r="DD10" s="30"/>
      <c r="DE10" s="30"/>
      <c r="DF10" s="30"/>
      <c r="DG10" s="30"/>
      <c r="DH10" s="30"/>
      <c r="DI10" s="30"/>
      <c r="DJ10" s="30"/>
      <c r="DK10" s="30"/>
    </row>
    <row r="14" spans="1:180" s="27" customForma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DC14" s="31"/>
      <c r="DD14" s="31"/>
      <c r="DE14" s="31"/>
      <c r="DF14" s="31"/>
      <c r="DG14" s="31"/>
      <c r="DH14" s="31"/>
      <c r="DI14" s="31"/>
      <c r="DJ14" s="31"/>
      <c r="DK14" s="31"/>
    </row>
  </sheetData>
  <mergeCells count="96">
    <mergeCell ref="EU2:FI2"/>
    <mergeCell ref="EU3:EU5"/>
    <mergeCell ref="EV3:FI3"/>
    <mergeCell ref="BL2:ET2"/>
    <mergeCell ref="EQ3:ER3"/>
    <mergeCell ref="ES3:ET3"/>
    <mergeCell ref="EQ4:EQ5"/>
    <mergeCell ref="ER4:ER5"/>
    <mergeCell ref="ES4:ES5"/>
    <mergeCell ref="ET4:ET5"/>
    <mergeCell ref="EE3:EG3"/>
    <mergeCell ref="EI3:EP3"/>
    <mergeCell ref="BM3:DW3"/>
    <mergeCell ref="DX3:EC3"/>
    <mergeCell ref="DX4:DX5"/>
    <mergeCell ref="FF4:FF5"/>
    <mergeCell ref="FG4:FG5"/>
    <mergeCell ref="FH4:FH5"/>
    <mergeCell ref="FI4:FI5"/>
    <mergeCell ref="EP4:EP5"/>
    <mergeCell ref="FA4:FA5"/>
    <mergeCell ref="FB4:FB5"/>
    <mergeCell ref="FC4:FC5"/>
    <mergeCell ref="FD4:FD5"/>
    <mergeCell ref="FE4:FE5"/>
    <mergeCell ref="AR3:AZ3"/>
    <mergeCell ref="EM4:EM5"/>
    <mergeCell ref="BA3:BC3"/>
    <mergeCell ref="BD4:BD5"/>
    <mergeCell ref="A2:A4"/>
    <mergeCell ref="EE4:EE5"/>
    <mergeCell ref="EF4:EF5"/>
    <mergeCell ref="C4:W4"/>
    <mergeCell ref="X4:AP4"/>
    <mergeCell ref="B2:BK2"/>
    <mergeCell ref="C3:AQ3"/>
    <mergeCell ref="AR4:AR5"/>
    <mergeCell ref="AS4:AS5"/>
    <mergeCell ref="AT4:AT5"/>
    <mergeCell ref="AU4:AU5"/>
    <mergeCell ref="AV4:AV5"/>
    <mergeCell ref="BE3:BK3"/>
    <mergeCell ref="BE4:BE5"/>
    <mergeCell ref="BF4:BF5"/>
    <mergeCell ref="BG4:BG5"/>
    <mergeCell ref="BH4:BH5"/>
    <mergeCell ref="BI4:BI5"/>
    <mergeCell ref="BJ4:BJ5"/>
    <mergeCell ref="BK4:BK5"/>
    <mergeCell ref="B4:B5"/>
    <mergeCell ref="AQ4:AQ5"/>
    <mergeCell ref="BM4:CG4"/>
    <mergeCell ref="DC4:DW4"/>
    <mergeCell ref="BA4:BA5"/>
    <mergeCell ref="BB4:BB5"/>
    <mergeCell ref="BC4:BC5"/>
    <mergeCell ref="AY4:AY5"/>
    <mergeCell ref="AW4:AW5"/>
    <mergeCell ref="AX4:AX5"/>
    <mergeCell ref="AZ4:AZ5"/>
    <mergeCell ref="CH4:DB4"/>
    <mergeCell ref="BL4:BL5"/>
    <mergeCell ref="FK3:FK5"/>
    <mergeCell ref="FL4:FL5"/>
    <mergeCell ref="FM4:FM5"/>
    <mergeCell ref="FL3:FM3"/>
    <mergeCell ref="EI4:EI5"/>
    <mergeCell ref="EJ4:EJ5"/>
    <mergeCell ref="EK4:EK5"/>
    <mergeCell ref="EL4:EL5"/>
    <mergeCell ref="EN4:EN5"/>
    <mergeCell ref="EO4:EO5"/>
    <mergeCell ref="FJ3:FJ5"/>
    <mergeCell ref="EV4:EV5"/>
    <mergeCell ref="EW4:EW5"/>
    <mergeCell ref="EX4:EX5"/>
    <mergeCell ref="EY4:EY5"/>
    <mergeCell ref="EZ4:EZ5"/>
    <mergeCell ref="ED4:ED5"/>
    <mergeCell ref="EG4:EG5"/>
    <mergeCell ref="EH4:EH5"/>
    <mergeCell ref="DY4:DY5"/>
    <mergeCell ref="DZ4:DZ5"/>
    <mergeCell ref="EA4:EA5"/>
    <mergeCell ref="EB4:EB5"/>
    <mergeCell ref="EC4:EC5"/>
    <mergeCell ref="FV4:FX4"/>
    <mergeCell ref="FT4:FU4"/>
    <mergeCell ref="FR4:FS4"/>
    <mergeCell ref="FR3:FX3"/>
    <mergeCell ref="FL2:FX2"/>
    <mergeCell ref="FN4:FN5"/>
    <mergeCell ref="FO4:FO5"/>
    <mergeCell ref="FP4:FP5"/>
    <mergeCell ref="FQ4:FQ5"/>
    <mergeCell ref="FN3:FQ3"/>
  </mergeCells>
  <phoneticPr fontId="1"/>
  <conditionalFormatting sqref="CH6:DI6">
    <cfRule type="cellIs" dxfId="0" priority="1" operator="equal">
      <formula>0</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調査票</vt:lpstr>
      <vt:lpstr>常勤換算計算表</vt:lpstr>
      <vt:lpstr>カテゴリー</vt:lpstr>
      <vt:lpstr>自動計算シート※入力しないでください！</vt:lpstr>
      <vt:lpstr>自動計算シート※入力しないでください！ (2)</vt:lpstr>
      <vt:lpstr>調査票!Print_Area</vt:lpstr>
      <vt:lpstr>常勤換算計算表!Print_Titles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木倉　悠子</dc:creator>
  <cp:lastModifiedBy>嶋田　あかね</cp:lastModifiedBy>
  <cp:lastPrinted>2025-09-01T06:57:04Z</cp:lastPrinted>
  <dcterms:created xsi:type="dcterms:W3CDTF">2023-05-23T04:07:16Z</dcterms:created>
  <dcterms:modified xsi:type="dcterms:W3CDTF">2025-09-01T06:57:15Z</dcterms:modified>
</cp:coreProperties>
</file>