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f-nwc04fs01.intra.pref.yamaguchi.lg.jp\00000_山口県\05020_医療政策課\050_看護指導班\013統計データ\各種調査・需給推計\05）採用退職状況調査\R7\01起案\訪問看護\"/>
    </mc:Choice>
  </mc:AlternateContent>
  <xr:revisionPtr revIDLastSave="0" documentId="13_ncr:1_{26653F6E-B9D5-4EFE-A32E-C60144D6B5DE}" xr6:coauthVersionLast="36" xr6:coauthVersionMax="47" xr10:uidLastSave="{00000000-0000-0000-0000-000000000000}"/>
  <bookViews>
    <workbookView xWindow="0" yWindow="0" windowWidth="28800" windowHeight="12140" xr2:uid="{D3D05A39-65DC-419A-9A3B-DD2118D1599D}"/>
  </bookViews>
  <sheets>
    <sheet name="調査票" sheetId="5" r:id="rId1"/>
    <sheet name="常勤換算計算表" sheetId="9" r:id="rId2"/>
    <sheet name="カテゴリー" sheetId="10" r:id="rId3"/>
    <sheet name="自動計算シート※入力しないでください！" sheetId="6" r:id="rId4"/>
    <sheet name="自動計算シート※入力しないでください！ (2)" sheetId="7" r:id="rId5"/>
  </sheets>
  <definedNames>
    <definedName name="_xlnm.Print_Area" localSheetId="0">調査票!$A$1:$P$251</definedName>
    <definedName name="_xlnm.Print_Titles" localSheetId="1">常勤換算計算表!$2:$3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7" i="5" l="1"/>
  <c r="DM6" i="7" l="1"/>
  <c r="DL6" i="7"/>
  <c r="DK6" i="7"/>
  <c r="DJ6" i="7"/>
  <c r="DI6" i="7"/>
  <c r="DH6" i="7"/>
  <c r="DG6" i="7"/>
  <c r="DF6" i="7"/>
  <c r="DE6" i="7"/>
  <c r="DD6" i="7"/>
  <c r="DC6" i="7"/>
  <c r="DB6" i="7"/>
  <c r="DA6" i="7"/>
  <c r="CZ6" i="7"/>
  <c r="CY6" i="7"/>
  <c r="CX6" i="7"/>
  <c r="CW6" i="7"/>
  <c r="CV6" i="7"/>
  <c r="CU6" i="7"/>
  <c r="CT6" i="7"/>
  <c r="CS6" i="7"/>
  <c r="CR6" i="7"/>
  <c r="CQ6" i="7"/>
  <c r="CP6" i="7"/>
  <c r="CO6" i="7"/>
  <c r="CN6" i="7" l="1"/>
  <c r="CM6" i="7"/>
  <c r="CL6" i="7"/>
  <c r="CK6" i="7"/>
  <c r="BV6" i="7" l="1"/>
  <c r="H237" i="5" l="1"/>
  <c r="H236" i="5"/>
  <c r="I193" i="5"/>
  <c r="I192" i="5"/>
  <c r="I191" i="5"/>
  <c r="K190" i="5"/>
  <c r="I142" i="5"/>
  <c r="J140" i="5"/>
  <c r="I143" i="5"/>
  <c r="I141" i="5"/>
  <c r="ZZ6" i="6"/>
  <c r="ZY6" i="6"/>
  <c r="ZX6" i="6"/>
  <c r="ZW6" i="6"/>
  <c r="ZV6" i="6"/>
  <c r="ZU6" i="6"/>
  <c r="ZT6" i="6"/>
  <c r="ZS6" i="6"/>
  <c r="ZR6" i="6"/>
  <c r="ZQ6" i="6"/>
  <c r="ZP6" i="6"/>
  <c r="ZO6" i="6"/>
  <c r="ZN6" i="6"/>
  <c r="ZM6" i="6"/>
  <c r="ZL6" i="6"/>
  <c r="ZK6" i="6"/>
  <c r="ZJ6" i="6"/>
  <c r="ZI6" i="6"/>
  <c r="ZH6" i="6"/>
  <c r="ZG6" i="6"/>
  <c r="ZF6" i="6"/>
  <c r="ZE6" i="6"/>
  <c r="ZD6" i="6"/>
  <c r="ZC6" i="6"/>
  <c r="ZB6" i="6"/>
  <c r="ZA6" i="6"/>
  <c r="YZ6" i="6"/>
  <c r="YY6" i="6"/>
  <c r="YL6" i="6"/>
  <c r="YK6" i="6"/>
  <c r="QR6" i="6" l="1"/>
  <c r="QQ6" i="6"/>
  <c r="QP6" i="6"/>
  <c r="QO6" i="6"/>
  <c r="QN6" i="6"/>
  <c r="QM6" i="6"/>
  <c r="QL6" i="6"/>
  <c r="LL6" i="6"/>
  <c r="LK6" i="6"/>
  <c r="LJ6" i="6"/>
  <c r="LI6" i="6"/>
  <c r="LH6" i="6"/>
  <c r="LG6" i="6"/>
  <c r="LF6" i="6"/>
  <c r="ON6" i="6"/>
  <c r="OM6" i="6"/>
  <c r="OL6" i="6"/>
  <c r="OK6" i="6"/>
  <c r="OJ6" i="6"/>
  <c r="OI6" i="6"/>
  <c r="OH6" i="6"/>
  <c r="YX6" i="6"/>
  <c r="YW6" i="6"/>
  <c r="YV6" i="6"/>
  <c r="YU6" i="6"/>
  <c r="YT6" i="6"/>
  <c r="YS6" i="6"/>
  <c r="YR6" i="6"/>
  <c r="YQ6" i="6"/>
  <c r="YP6" i="6"/>
  <c r="YO6" i="6"/>
  <c r="YN6" i="6"/>
  <c r="YM6" i="6"/>
  <c r="YJ6" i="6"/>
  <c r="YI6" i="6"/>
  <c r="YH6" i="6"/>
  <c r="YG6" i="6"/>
  <c r="YF6" i="6"/>
  <c r="YE6" i="6"/>
  <c r="YD6" i="6"/>
  <c r="YC6" i="6"/>
  <c r="YB6" i="6"/>
  <c r="AAF6" i="6" s="1"/>
  <c r="YA6" i="6"/>
  <c r="XZ6" i="6"/>
  <c r="XY6" i="6"/>
  <c r="XX6" i="6"/>
  <c r="XW6" i="6"/>
  <c r="SN6" i="6"/>
  <c r="SM6" i="6"/>
  <c r="SL6" i="6"/>
  <c r="SK6" i="6"/>
  <c r="SJ6" i="6"/>
  <c r="SI6" i="6"/>
  <c r="SH6" i="6"/>
  <c r="SF6" i="6"/>
  <c r="SE6" i="6"/>
  <c r="SD6" i="6"/>
  <c r="SC6" i="6"/>
  <c r="SB6" i="6"/>
  <c r="SA6" i="6"/>
  <c r="RZ6" i="6"/>
  <c r="RX6" i="6"/>
  <c r="RW6" i="6"/>
  <c r="RV6" i="6"/>
  <c r="RU6" i="6"/>
  <c r="RT6" i="6"/>
  <c r="RS6" i="6"/>
  <c r="RR6" i="6"/>
  <c r="RP6" i="6"/>
  <c r="RO6" i="6"/>
  <c r="RN6" i="6"/>
  <c r="RM6" i="6"/>
  <c r="RL6" i="6"/>
  <c r="RK6" i="6"/>
  <c r="RJ6" i="6"/>
  <c r="RH6" i="6"/>
  <c r="RG6" i="6"/>
  <c r="RF6" i="6"/>
  <c r="RE6" i="6"/>
  <c r="RD6" i="6"/>
  <c r="RC6" i="6"/>
  <c r="RB6" i="6"/>
  <c r="QZ6" i="6"/>
  <c r="QY6" i="6"/>
  <c r="QX6" i="6"/>
  <c r="QW6" i="6"/>
  <c r="QV6" i="6"/>
  <c r="QU6" i="6"/>
  <c r="QT6" i="6"/>
  <c r="QJ6" i="6"/>
  <c r="QI6" i="6"/>
  <c r="QH6" i="6"/>
  <c r="QG6" i="6"/>
  <c r="QF6" i="6"/>
  <c r="QE6" i="6"/>
  <c r="QD6" i="6"/>
  <c r="QB6" i="6"/>
  <c r="QA6" i="6"/>
  <c r="PZ6" i="6"/>
  <c r="PY6" i="6"/>
  <c r="PX6" i="6"/>
  <c r="PW6" i="6"/>
  <c r="PV6" i="6"/>
  <c r="PT6" i="6"/>
  <c r="PS6" i="6"/>
  <c r="PR6" i="6"/>
  <c r="PQ6" i="6"/>
  <c r="PP6" i="6"/>
  <c r="PO6" i="6"/>
  <c r="PN6" i="6"/>
  <c r="PL6" i="6"/>
  <c r="PK6" i="6"/>
  <c r="PJ6" i="6"/>
  <c r="PI6" i="6"/>
  <c r="PH6" i="6"/>
  <c r="PG6" i="6"/>
  <c r="PF6" i="6"/>
  <c r="PD6" i="6"/>
  <c r="PC6" i="6"/>
  <c r="PB6" i="6"/>
  <c r="PA6" i="6"/>
  <c r="OZ6" i="6"/>
  <c r="OY6" i="6"/>
  <c r="OX6" i="6"/>
  <c r="OV6" i="6"/>
  <c r="OU6" i="6"/>
  <c r="OT6" i="6"/>
  <c r="OS6" i="6"/>
  <c r="OR6" i="6"/>
  <c r="OQ6" i="6"/>
  <c r="OP6" i="6"/>
  <c r="OF6" i="6"/>
  <c r="OE6" i="6"/>
  <c r="OD6" i="6"/>
  <c r="OC6" i="6"/>
  <c r="OB6" i="6"/>
  <c r="OA6" i="6"/>
  <c r="NZ6" i="6"/>
  <c r="NX6" i="6"/>
  <c r="NW6" i="6"/>
  <c r="NV6" i="6"/>
  <c r="NU6" i="6"/>
  <c r="NT6" i="6"/>
  <c r="NS6" i="6"/>
  <c r="NR6" i="6"/>
  <c r="NP6" i="6"/>
  <c r="NO6" i="6"/>
  <c r="NN6" i="6"/>
  <c r="NM6" i="6"/>
  <c r="NL6" i="6"/>
  <c r="NK6" i="6"/>
  <c r="NJ6" i="6"/>
  <c r="NH6" i="6"/>
  <c r="NG6" i="6"/>
  <c r="NF6" i="6"/>
  <c r="NE6" i="6"/>
  <c r="ND6" i="6"/>
  <c r="NC6" i="6"/>
  <c r="NB6" i="6"/>
  <c r="MZ6" i="6"/>
  <c r="MY6" i="6"/>
  <c r="MX6" i="6"/>
  <c r="MW6" i="6"/>
  <c r="MV6" i="6"/>
  <c r="MU6" i="6"/>
  <c r="MT6" i="6"/>
  <c r="MR6" i="6"/>
  <c r="MQ6" i="6"/>
  <c r="MP6" i="6"/>
  <c r="MO6" i="6"/>
  <c r="MN6" i="6"/>
  <c r="MM6" i="6"/>
  <c r="ML6" i="6"/>
  <c r="MJ6" i="6"/>
  <c r="MI6" i="6"/>
  <c r="MH6" i="6"/>
  <c r="MG6" i="6"/>
  <c r="MF6" i="6"/>
  <c r="ME6" i="6"/>
  <c r="MD6" i="6"/>
  <c r="MB6" i="6"/>
  <c r="MA6" i="6"/>
  <c r="LZ6" i="6"/>
  <c r="LY6" i="6"/>
  <c r="LX6" i="6"/>
  <c r="LW6" i="6"/>
  <c r="LV6" i="6"/>
  <c r="LT6" i="6"/>
  <c r="LS6" i="6"/>
  <c r="LR6" i="6"/>
  <c r="LQ6" i="6"/>
  <c r="LP6" i="6"/>
  <c r="LO6" i="6"/>
  <c r="LN6" i="6"/>
  <c r="LD6" i="6"/>
  <c r="LC6" i="6"/>
  <c r="LB6" i="6"/>
  <c r="LA6" i="6"/>
  <c r="KZ6" i="6"/>
  <c r="KY6" i="6"/>
  <c r="KX6" i="6"/>
  <c r="KV6" i="6"/>
  <c r="KU6" i="6"/>
  <c r="KT6" i="6"/>
  <c r="KS6" i="6"/>
  <c r="KR6" i="6"/>
  <c r="KQ6" i="6"/>
  <c r="KP6" i="6"/>
  <c r="KN6" i="6"/>
  <c r="KM6" i="6"/>
  <c r="KL6" i="6"/>
  <c r="KK6" i="6"/>
  <c r="KJ6" i="6"/>
  <c r="KI6" i="6"/>
  <c r="KH6" i="6"/>
  <c r="KF6" i="6"/>
  <c r="KE6" i="6"/>
  <c r="KD6" i="6"/>
  <c r="KC6" i="6"/>
  <c r="KB6" i="6"/>
  <c r="KA6" i="6"/>
  <c r="JZ6" i="6"/>
  <c r="JX6" i="6"/>
  <c r="JW6" i="6"/>
  <c r="JV6" i="6"/>
  <c r="JU6" i="6"/>
  <c r="JT6" i="6"/>
  <c r="JS6" i="6"/>
  <c r="JR6" i="6"/>
  <c r="JP6" i="6"/>
  <c r="JO6" i="6"/>
  <c r="JN6" i="6"/>
  <c r="JM6" i="6"/>
  <c r="JL6" i="6"/>
  <c r="JK6" i="6"/>
  <c r="JJ6" i="6"/>
  <c r="JH6" i="6"/>
  <c r="JG6" i="6"/>
  <c r="JF6" i="6"/>
  <c r="JE6" i="6"/>
  <c r="JD6" i="6"/>
  <c r="JC6" i="6"/>
  <c r="JB6" i="6"/>
  <c r="IZ6" i="6"/>
  <c r="IY6" i="6"/>
  <c r="IX6" i="6"/>
  <c r="IW6" i="6"/>
  <c r="IV6" i="6"/>
  <c r="IU6" i="6"/>
  <c r="IT6" i="6"/>
  <c r="IR6" i="6"/>
  <c r="IQ6" i="6"/>
  <c r="IP6" i="6"/>
  <c r="IO6" i="6"/>
  <c r="IN6" i="6"/>
  <c r="IM6" i="6"/>
  <c r="IL6" i="6"/>
  <c r="IJ6" i="6"/>
  <c r="II6" i="6"/>
  <c r="IH6" i="6"/>
  <c r="IG6" i="6"/>
  <c r="IF6" i="6"/>
  <c r="IE6" i="6"/>
  <c r="ID6" i="6"/>
  <c r="HU6" i="6"/>
  <c r="HT6" i="6"/>
  <c r="HS6" i="6"/>
  <c r="HR6" i="6"/>
  <c r="HQ6" i="6"/>
  <c r="HP6" i="6"/>
  <c r="HN6" i="6"/>
  <c r="HM6" i="6"/>
  <c r="HL6" i="6"/>
  <c r="HK6" i="6"/>
  <c r="HJ6" i="6"/>
  <c r="HI6" i="6"/>
  <c r="GZ6" i="6"/>
  <c r="GY6" i="6"/>
  <c r="GX6" i="6"/>
  <c r="GW6" i="6"/>
  <c r="GV6" i="6"/>
  <c r="GU6" i="6"/>
  <c r="GS6" i="6"/>
  <c r="GR6" i="6"/>
  <c r="GQ6" i="6"/>
  <c r="GP6" i="6"/>
  <c r="GO6" i="6"/>
  <c r="GN6" i="6"/>
  <c r="GA6" i="6"/>
  <c r="FZ6" i="6"/>
  <c r="FY6" i="6"/>
  <c r="FX6" i="6"/>
  <c r="FW6" i="6"/>
  <c r="FV6" i="6"/>
  <c r="FU6" i="6"/>
  <c r="FT6" i="6"/>
  <c r="FQ6" i="6"/>
  <c r="FP6" i="6"/>
  <c r="FO6" i="6"/>
  <c r="FN6" i="6"/>
  <c r="FM6" i="6"/>
  <c r="FL6" i="6"/>
  <c r="FK6" i="6"/>
  <c r="FJ6" i="6"/>
  <c r="EY6" i="6"/>
  <c r="EX6" i="6"/>
  <c r="EW6" i="6"/>
  <c r="EV6" i="6"/>
  <c r="EU6" i="6"/>
  <c r="ET6" i="6"/>
  <c r="ER6" i="6"/>
  <c r="EQ6" i="6"/>
  <c r="EP6" i="6"/>
  <c r="EO6" i="6"/>
  <c r="EN6" i="6"/>
  <c r="EM6" i="6"/>
  <c r="DZ6" i="6"/>
  <c r="DY6" i="6"/>
  <c r="DX6" i="6"/>
  <c r="DW6" i="6"/>
  <c r="DV6" i="6"/>
  <c r="DU6" i="6"/>
  <c r="DT6" i="6"/>
  <c r="DS6" i="6"/>
  <c r="DP6" i="6"/>
  <c r="DO6" i="6"/>
  <c r="DN6" i="6"/>
  <c r="DM6" i="6"/>
  <c r="DL6" i="6"/>
  <c r="DK6" i="6"/>
  <c r="DJ6" i="6"/>
  <c r="DI6" i="6"/>
  <c r="CX6" i="6"/>
  <c r="CV6" i="6"/>
  <c r="CU6" i="6"/>
  <c r="CT6" i="6"/>
  <c r="CS6" i="6"/>
  <c r="CR6" i="6"/>
  <c r="CQ6" i="6"/>
  <c r="CP6" i="6"/>
  <c r="CO6" i="6"/>
  <c r="CN6" i="6"/>
  <c r="CL6" i="6"/>
  <c r="CK6" i="6"/>
  <c r="CJ6" i="6"/>
  <c r="CI6" i="6"/>
  <c r="CH6" i="6"/>
  <c r="CG6" i="6"/>
  <c r="CF6" i="6"/>
  <c r="CE6" i="6"/>
  <c r="OO6" i="6" l="1"/>
  <c r="AW6" i="6" l="1"/>
  <c r="I46" i="5"/>
  <c r="I37" i="5"/>
  <c r="FW6" i="7"/>
  <c r="FV6" i="7"/>
  <c r="FU6" i="7"/>
  <c r="FT6" i="7"/>
  <c r="FS6" i="7"/>
  <c r="FR6" i="7"/>
  <c r="FQ6" i="7"/>
  <c r="FP6" i="7"/>
  <c r="FO6" i="7"/>
  <c r="FN6" i="7"/>
  <c r="FM6" i="7"/>
  <c r="FL6" i="7"/>
  <c r="FK6" i="7"/>
  <c r="DN6" i="7"/>
  <c r="CJ6" i="7"/>
  <c r="CI6" i="7"/>
  <c r="CH6" i="7"/>
  <c r="CG6" i="7"/>
  <c r="CF6" i="7"/>
  <c r="CE6" i="7"/>
  <c r="CD6" i="7"/>
  <c r="CC6" i="7"/>
  <c r="CB6" i="7"/>
  <c r="CA6" i="7"/>
  <c r="BZ6" i="7"/>
  <c r="BY6" i="7"/>
  <c r="BX6" i="7"/>
  <c r="BW6" i="7"/>
  <c r="BU6" i="7"/>
  <c r="BT6" i="7"/>
  <c r="BS6" i="7"/>
  <c r="BR6" i="7"/>
  <c r="BQ6" i="7"/>
  <c r="BP6" i="7"/>
  <c r="BO6" i="7"/>
  <c r="BN6" i="7"/>
  <c r="BM6" i="7"/>
  <c r="AAZ6" i="6"/>
  <c r="AAR6" i="6"/>
  <c r="AAO6" i="6"/>
  <c r="AAJ6" i="6" l="1"/>
  <c r="AAM6" i="6"/>
  <c r="AAN6" i="6"/>
  <c r="AAV6" i="6"/>
  <c r="AAU6" i="6"/>
  <c r="ABA6" i="6"/>
  <c r="AAC6" i="6"/>
  <c r="AAK6" i="6"/>
  <c r="AAS6" i="6"/>
  <c r="AAE6" i="6"/>
  <c r="AAI6" i="6"/>
  <c r="AAA6" i="6"/>
  <c r="AAP6" i="6"/>
  <c r="AAH6" i="6"/>
  <c r="AAX6" i="6"/>
  <c r="AAB6" i="6"/>
  <c r="AAD6" i="6"/>
  <c r="AAL6" i="6"/>
  <c r="AAT6" i="6"/>
  <c r="AAG6" i="6"/>
  <c r="AAW6" i="6"/>
  <c r="ABB6" i="6"/>
  <c r="AAQ6" i="6"/>
  <c r="AAY6" i="6"/>
  <c r="XV6" i="6" l="1"/>
  <c r="XS6" i="6"/>
  <c r="XJ6" i="6"/>
  <c r="VS6" i="6"/>
  <c r="VG6" i="6"/>
  <c r="TT6" i="6"/>
  <c r="TS6" i="6"/>
  <c r="TQ6" i="6"/>
  <c r="TO6" i="6"/>
  <c r="TN6" i="6"/>
  <c r="XC6" i="6"/>
  <c r="XA6" i="6"/>
  <c r="WT6" i="6"/>
  <c r="WR6" i="6"/>
  <c r="WK6" i="6"/>
  <c r="WI6" i="6"/>
  <c r="VZ6" i="6"/>
  <c r="WB6" i="6"/>
  <c r="VJ6" i="6"/>
  <c r="UX6" i="6"/>
  <c r="UQ6" i="6"/>
  <c r="UO6" i="6"/>
  <c r="UH6" i="6"/>
  <c r="UF6" i="6"/>
  <c r="TY6" i="6"/>
  <c r="TW6" i="6"/>
  <c r="XL6" i="6" l="1"/>
  <c r="VP6" i="6"/>
  <c r="UZ6" i="6"/>
  <c r="XG6" i="6"/>
  <c r="UL6" i="6"/>
  <c r="UU6" i="6"/>
  <c r="VM6" i="6"/>
  <c r="WN6" i="6"/>
  <c r="WE6" i="6"/>
  <c r="VV6" i="6"/>
  <c r="XP6" i="6"/>
  <c r="WX6" i="6"/>
  <c r="TP6" i="6"/>
  <c r="UB6" i="6"/>
  <c r="VD6" i="6"/>
  <c r="XN6" i="6"/>
  <c r="TZ6" i="6"/>
  <c r="UI6" i="6"/>
  <c r="UR6" i="6"/>
  <c r="VK6" i="6"/>
  <c r="WC6" i="6"/>
  <c r="WL6" i="6"/>
  <c r="WU6" i="6"/>
  <c r="XD6" i="6"/>
  <c r="VB6" i="6"/>
  <c r="VT6" i="6"/>
  <c r="UT6" i="6"/>
  <c r="VL6" i="6"/>
  <c r="UA6" i="6"/>
  <c r="WD6" i="6"/>
  <c r="WM6" i="6"/>
  <c r="WV6" i="6"/>
  <c r="VU6" i="6"/>
  <c r="UJ6" i="6"/>
  <c r="XH6" i="6"/>
  <c r="XQ6" i="6"/>
  <c r="UD6" i="6"/>
  <c r="UM6" i="6"/>
  <c r="UV6" i="6"/>
  <c r="VN6" i="6"/>
  <c r="WF6" i="6"/>
  <c r="WP6" i="6"/>
  <c r="WY6" i="6"/>
  <c r="VE6" i="6"/>
  <c r="VW6" i="6"/>
  <c r="WA6" i="6"/>
  <c r="VR6" i="6"/>
  <c r="XK6" i="6"/>
  <c r="XT6" i="6"/>
  <c r="UG6" i="6"/>
  <c r="UP6" i="6"/>
  <c r="TX6" i="6"/>
  <c r="UY6" i="6"/>
  <c r="WJ6" i="6"/>
  <c r="WS6" i="6"/>
  <c r="XB6" i="6"/>
  <c r="VH6" i="6"/>
  <c r="XI6" i="6"/>
  <c r="XR6" i="6"/>
  <c r="TV6" i="6"/>
  <c r="UE6" i="6"/>
  <c r="UN6" i="6"/>
  <c r="UW6" i="6"/>
  <c r="VO6" i="6"/>
  <c r="WH6" i="6"/>
  <c r="WQ6" i="6"/>
  <c r="WZ6" i="6"/>
  <c r="VF6" i="6"/>
  <c r="VX6" i="6"/>
  <c r="PU6" i="6"/>
  <c r="QC6" i="6"/>
  <c r="SO6" i="6"/>
  <c r="VC6" i="6"/>
  <c r="NQ6" i="6"/>
  <c r="TR6" i="6"/>
  <c r="NY6" i="6"/>
  <c r="PE6" i="6"/>
  <c r="PM6" i="6"/>
  <c r="QK6" i="6"/>
  <c r="QS6" i="6"/>
  <c r="RA6" i="6"/>
  <c r="RI6" i="6"/>
  <c r="RQ6" i="6"/>
  <c r="RY6" i="6"/>
  <c r="XF6" i="6"/>
  <c r="XO6" i="6"/>
  <c r="OG6" i="6"/>
  <c r="OW6" i="6"/>
  <c r="SG6" i="6"/>
  <c r="MS6" i="6"/>
  <c r="NA6" i="6"/>
  <c r="LU6" i="6"/>
  <c r="KW6" i="6"/>
  <c r="LM6" i="6"/>
  <c r="MC6" i="6"/>
  <c r="MK6" i="6"/>
  <c r="NI6" i="6"/>
  <c r="KO6" i="6"/>
  <c r="JY6" i="6"/>
  <c r="KG6" i="6"/>
  <c r="LE6" i="6"/>
  <c r="JQ6" i="6"/>
  <c r="JI6" i="6"/>
  <c r="TU6" i="6" s="1"/>
  <c r="TL6" i="6"/>
  <c r="TK6" i="6"/>
  <c r="TJ6" i="6"/>
  <c r="TI6" i="6"/>
  <c r="TH6" i="6"/>
  <c r="TG6" i="6"/>
  <c r="TF6" i="6"/>
  <c r="TD6" i="6"/>
  <c r="TC6" i="6"/>
  <c r="TB6" i="6"/>
  <c r="TA6" i="6"/>
  <c r="SZ6" i="6"/>
  <c r="SY6" i="6"/>
  <c r="SX6" i="6"/>
  <c r="SV6" i="6"/>
  <c r="SU6" i="6"/>
  <c r="ST6" i="6"/>
  <c r="SS6" i="6"/>
  <c r="SR6" i="6"/>
  <c r="SQ6" i="6"/>
  <c r="SP6" i="6"/>
  <c r="GK6" i="6"/>
  <c r="GJ6" i="6"/>
  <c r="GI6" i="6"/>
  <c r="GH6" i="6"/>
  <c r="GG6" i="6"/>
  <c r="GF6" i="6"/>
  <c r="GE6" i="6"/>
  <c r="GD6" i="6"/>
  <c r="FI6" i="6"/>
  <c r="FH6" i="6"/>
  <c r="HW6" i="6" l="1"/>
  <c r="VI6" i="6"/>
  <c r="XM6" i="6"/>
  <c r="WO6" i="6"/>
  <c r="UC6" i="6"/>
  <c r="US6" i="6"/>
  <c r="WG6" i="6"/>
  <c r="VA6" i="6"/>
  <c r="XU6" i="6"/>
  <c r="UK6" i="6"/>
  <c r="VY6" i="6"/>
  <c r="VQ6" i="6"/>
  <c r="XE6" i="6"/>
  <c r="WW6" i="6"/>
  <c r="HX6" i="6"/>
  <c r="IB6" i="6"/>
  <c r="HD6" i="6"/>
  <c r="JA6" i="6"/>
  <c r="TM6" i="6" s="1"/>
  <c r="IS6" i="6"/>
  <c r="TE6" i="6" s="1"/>
  <c r="IK6" i="6"/>
  <c r="SW6" i="6" s="1"/>
  <c r="HY6" i="6"/>
  <c r="HZ6" i="6"/>
  <c r="IA6" i="6"/>
  <c r="HC6" i="6"/>
  <c r="HV6" i="6"/>
  <c r="HE6" i="6"/>
  <c r="HB6" i="6"/>
  <c r="HO6" i="6"/>
  <c r="HF6" i="6"/>
  <c r="HG6" i="6"/>
  <c r="GT6" i="6"/>
  <c r="HA6" i="6"/>
  <c r="FS6" i="6"/>
  <c r="GC6" i="6"/>
  <c r="GM6" i="6"/>
  <c r="GL6" i="6"/>
  <c r="GB6" i="6"/>
  <c r="FR6" i="6"/>
  <c r="IC6" i="6" l="1"/>
  <c r="HH6" i="6"/>
  <c r="EJ6" i="6" l="1"/>
  <c r="EI6" i="6"/>
  <c r="EH6" i="6"/>
  <c r="EG6" i="6"/>
  <c r="EF6" i="6"/>
  <c r="EE6" i="6"/>
  <c r="ED6" i="6"/>
  <c r="EC6" i="6"/>
  <c r="EL6" i="6" l="1"/>
  <c r="EK6" i="6"/>
  <c r="DR6" i="6"/>
  <c r="EB6" i="6"/>
  <c r="EA6" i="6"/>
  <c r="DQ6" i="6"/>
  <c r="FF6" i="6" l="1"/>
  <c r="FE6" i="6"/>
  <c r="FD6" i="6"/>
  <c r="FC6" i="6"/>
  <c r="FB6" i="6"/>
  <c r="FA6" i="6"/>
  <c r="DH6" i="6" l="1"/>
  <c r="FG6" i="6"/>
  <c r="EZ6" i="6"/>
  <c r="ES6" i="6"/>
  <c r="CW6" i="6"/>
  <c r="DE6" i="6"/>
  <c r="DC6" i="6"/>
  <c r="DA6" i="6"/>
  <c r="CY6" i="6"/>
  <c r="DF6" i="6"/>
  <c r="DD6" i="6"/>
  <c r="DB6" i="6"/>
  <c r="CZ6" i="6"/>
  <c r="CM6" i="6" l="1"/>
  <c r="DG6" i="6" s="1"/>
  <c r="BX6" i="6"/>
  <c r="BW6" i="6"/>
  <c r="BV6" i="6"/>
  <c r="BU6" i="6"/>
  <c r="BS6" i="6"/>
  <c r="CC6" i="6" s="1"/>
  <c r="BR6" i="6"/>
  <c r="CB6" i="6" s="1"/>
  <c r="BQ6" i="6"/>
  <c r="CA6" i="6" s="1"/>
  <c r="BP6" i="6"/>
  <c r="BO6" i="6"/>
  <c r="BN6" i="6"/>
  <c r="BM6" i="6"/>
  <c r="BF6" i="6"/>
  <c r="BE6" i="6"/>
  <c r="BD6" i="6"/>
  <c r="BC6" i="6"/>
  <c r="BA6" i="6"/>
  <c r="AZ6" i="6"/>
  <c r="AY6" i="6"/>
  <c r="AX6" i="6"/>
  <c r="A6" i="6"/>
  <c r="BZ6" i="6" l="1"/>
  <c r="BH6" i="6"/>
  <c r="BI6" i="6"/>
  <c r="BJ6" i="6"/>
  <c r="BK6" i="6"/>
  <c r="L248" i="5"/>
  <c r="L247" i="5"/>
  <c r="I79" i="5" l="1"/>
  <c r="O52" i="5" l="1"/>
  <c r="BT6" i="6" s="1"/>
  <c r="O53" i="5"/>
  <c r="BY6" i="6" s="1"/>
  <c r="O42" i="5"/>
  <c r="BG6" i="6" s="1"/>
  <c r="O41" i="5"/>
  <c r="BB6" i="6" s="1"/>
  <c r="Q42" i="5"/>
  <c r="CD6" i="6" l="1"/>
  <c r="BL6" i="6"/>
  <c r="Q53" i="5"/>
  <c r="FX6" i="7"/>
  <c r="H159" i="5"/>
  <c r="H109" i="5"/>
  <c r="I235" i="5" l="1"/>
  <c r="N235" i="5"/>
  <c r="H232" i="5"/>
  <c r="FJ6" i="7" l="1"/>
  <c r="FI6" i="7"/>
  <c r="FH6" i="7"/>
  <c r="FG6" i="7"/>
  <c r="FF6" i="7"/>
  <c r="FE6" i="7"/>
  <c r="FD6" i="7"/>
  <c r="FC6" i="7"/>
  <c r="FB6" i="7"/>
  <c r="FA6" i="7"/>
  <c r="EZ6" i="7"/>
  <c r="EY6" i="7"/>
  <c r="EX6" i="7"/>
  <c r="EW6" i="7"/>
  <c r="EV6" i="7"/>
  <c r="EU6" i="7"/>
  <c r="H229" i="5" l="1"/>
  <c r="H218" i="5"/>
  <c r="AS6" i="6" l="1"/>
  <c r="AU6" i="6"/>
  <c r="AT6" i="6"/>
  <c r="AR6" i="6"/>
  <c r="AQ6" i="6"/>
  <c r="K34" i="5" l="1"/>
  <c r="AV6" i="6" s="1"/>
  <c r="B6" i="6" l="1"/>
  <c r="J155" i="5"/>
  <c r="J137" i="5"/>
  <c r="C213" i="5"/>
  <c r="F209" i="5"/>
  <c r="M38" i="9" l="1"/>
  <c r="M37" i="9"/>
  <c r="M36" i="9"/>
  <c r="M35" i="9"/>
  <c r="M34" i="9"/>
  <c r="M33" i="9"/>
  <c r="M32" i="9"/>
  <c r="M29" i="9"/>
  <c r="M28" i="9"/>
  <c r="M27" i="9"/>
  <c r="M26" i="9"/>
  <c r="M25" i="9"/>
  <c r="M24" i="9"/>
  <c r="M23" i="9"/>
  <c r="M20" i="9"/>
  <c r="M19" i="9"/>
  <c r="M18" i="9"/>
  <c r="M17" i="9"/>
  <c r="M16" i="9"/>
  <c r="M15" i="9"/>
  <c r="M14" i="9"/>
  <c r="M11" i="9"/>
  <c r="M10" i="9"/>
  <c r="M9" i="9"/>
  <c r="M8" i="9"/>
  <c r="M7" i="9"/>
  <c r="M6" i="9"/>
  <c r="M5" i="9"/>
  <c r="F38" i="9"/>
  <c r="F37" i="9"/>
  <c r="F36" i="9"/>
  <c r="F35" i="9"/>
  <c r="F34" i="9"/>
  <c r="F33" i="9"/>
  <c r="F32" i="9"/>
  <c r="F20" i="9"/>
  <c r="F19" i="9"/>
  <c r="F18" i="9"/>
  <c r="F17" i="9"/>
  <c r="F16" i="9"/>
  <c r="F15" i="9"/>
  <c r="F14" i="9"/>
  <c r="F11" i="9"/>
  <c r="F10" i="9"/>
  <c r="F9" i="9"/>
  <c r="F8" i="9"/>
  <c r="F7" i="9"/>
  <c r="F6" i="9"/>
  <c r="F5" i="9"/>
  <c r="F22" i="9"/>
  <c r="F23" i="9"/>
  <c r="F24" i="9"/>
  <c r="F27" i="9"/>
  <c r="F28" i="9"/>
  <c r="F29" i="9"/>
  <c r="F26" i="9"/>
  <c r="F25" i="9"/>
  <c r="F6" i="6" l="1"/>
  <c r="E6" i="6"/>
  <c r="D6" i="6"/>
  <c r="C6" i="6"/>
  <c r="B6" i="7" l="1"/>
  <c r="ES6" i="7" l="1"/>
  <c r="EL6" i="7"/>
  <c r="EG6" i="7"/>
  <c r="DX6" i="7"/>
  <c r="DR6" i="7"/>
  <c r="BD6" i="7"/>
  <c r="AX6" i="7"/>
  <c r="AW6" i="7"/>
  <c r="AV6" i="7"/>
  <c r="AU6" i="7"/>
  <c r="AT6" i="7"/>
  <c r="AS6" i="7"/>
  <c r="AR6" i="7"/>
  <c r="AQ6" i="7"/>
  <c r="AH6" i="7"/>
  <c r="Y6" i="7"/>
  <c r="O6" i="7"/>
  <c r="D6" i="7"/>
  <c r="ET6" i="7"/>
  <c r="ER6" i="7"/>
  <c r="EQ6" i="7"/>
  <c r="EP6" i="7"/>
  <c r="EO6" i="7"/>
  <c r="EM6" i="7"/>
  <c r="EN6" i="7"/>
  <c r="EK6" i="7"/>
  <c r="EJ6" i="7"/>
  <c r="EI6" i="7"/>
  <c r="EH6" i="7"/>
  <c r="EF6" i="7"/>
  <c r="EE6" i="7"/>
  <c r="EB6" i="7"/>
  <c r="ED6" i="7"/>
  <c r="EC6" i="7"/>
  <c r="EA6" i="7"/>
  <c r="DZ6" i="7"/>
  <c r="DY6" i="7"/>
  <c r="DW6" i="7"/>
  <c r="DV6" i="7"/>
  <c r="DU6" i="7"/>
  <c r="DT6" i="7"/>
  <c r="DS6" i="7"/>
  <c r="DQ6" i="7"/>
  <c r="DP6" i="7"/>
  <c r="DO6" i="7"/>
  <c r="BL6" i="7"/>
  <c r="BK6" i="7"/>
  <c r="BJ6" i="7"/>
  <c r="BI6" i="7"/>
  <c r="BH6" i="7"/>
  <c r="BG6" i="7"/>
  <c r="BF6" i="7"/>
  <c r="BE6" i="7"/>
  <c r="BC6" i="7"/>
  <c r="BB6" i="7"/>
  <c r="BA6" i="7"/>
  <c r="AZ6" i="7"/>
  <c r="AY6" i="7"/>
  <c r="AP6" i="7" l="1"/>
  <c r="AO6" i="7"/>
  <c r="AN6" i="7"/>
  <c r="AM6" i="7"/>
  <c r="AL6" i="7"/>
  <c r="AK6" i="7"/>
  <c r="AJ6" i="7"/>
  <c r="AI6" i="7"/>
  <c r="AG6" i="7"/>
  <c r="AF6" i="7"/>
  <c r="AE6" i="7"/>
  <c r="AD6" i="7"/>
  <c r="AC6" i="7"/>
  <c r="AB6" i="7"/>
  <c r="AA6" i="7"/>
  <c r="Z6" i="7"/>
  <c r="X6" i="7"/>
  <c r="W6" i="7"/>
  <c r="V6" i="7"/>
  <c r="U6" i="7"/>
  <c r="T6" i="7"/>
  <c r="S6" i="7"/>
  <c r="R6" i="7"/>
  <c r="Q6" i="7"/>
  <c r="P6" i="7"/>
  <c r="N6" i="7"/>
  <c r="C6" i="7"/>
  <c r="M6" i="7" l="1"/>
  <c r="L6" i="7"/>
  <c r="K6" i="7"/>
  <c r="J6" i="7"/>
  <c r="I6" i="7"/>
  <c r="H6" i="7"/>
  <c r="G6" i="7"/>
  <c r="F6" i="7"/>
  <c r="E6" i="7"/>
  <c r="AD6" i="6"/>
  <c r="AB6" i="6"/>
  <c r="AA6" i="6"/>
  <c r="Z6" i="6"/>
  <c r="Y6" i="6"/>
  <c r="X6" i="6"/>
  <c r="V6" i="6"/>
  <c r="U6" i="6"/>
  <c r="T6" i="6"/>
  <c r="S6" i="6"/>
  <c r="R6" i="6"/>
  <c r="P6" i="6"/>
  <c r="O6" i="6"/>
  <c r="N6" i="6"/>
  <c r="M6" i="6"/>
  <c r="L6" i="6"/>
  <c r="J6" i="6"/>
  <c r="I6" i="6"/>
  <c r="H6" i="6"/>
  <c r="G6" i="6"/>
  <c r="A6" i="7"/>
  <c r="M31" i="9" l="1"/>
  <c r="M22" i="9"/>
  <c r="M13" i="9"/>
  <c r="M4" i="9"/>
  <c r="F31" i="9"/>
  <c r="F13" i="9"/>
  <c r="F4" i="9"/>
  <c r="M23" i="5"/>
  <c r="AF6" i="6" s="1"/>
  <c r="M24" i="5"/>
  <c r="AG6" i="6" s="1"/>
  <c r="M25" i="5"/>
  <c r="AH6" i="6" s="1"/>
  <c r="M27" i="5"/>
  <c r="AJ6" i="6" s="1"/>
  <c r="O22" i="5"/>
  <c r="O23" i="5"/>
  <c r="AL6" i="6" s="1"/>
  <c r="O24" i="5"/>
  <c r="AM6" i="6" s="1"/>
  <c r="O25" i="5"/>
  <c r="AN6" i="6" s="1"/>
  <c r="O27" i="5"/>
  <c r="AP6" i="6" s="1"/>
  <c r="AK6" i="6" l="1"/>
  <c r="O26" i="5"/>
  <c r="AO6" i="6" s="1"/>
  <c r="F21" i="9"/>
  <c r="M12" i="9"/>
  <c r="M21" i="9"/>
  <c r="M30" i="9"/>
  <c r="M39" i="9"/>
  <c r="F12" i="9"/>
  <c r="F30" i="9"/>
  <c r="F39" i="9"/>
  <c r="M22" i="5" l="1"/>
  <c r="M26" i="5" s="1"/>
  <c r="K26" i="5"/>
  <c r="AC6" i="6" s="1"/>
  <c r="E26" i="5"/>
  <c r="K6" i="6" s="1"/>
  <c r="G26" i="5"/>
  <c r="Q6" i="6" s="1"/>
  <c r="I26" i="5"/>
  <c r="W6" i="6" s="1"/>
  <c r="AI6" i="6" l="1"/>
  <c r="AE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X68" authorId="0" shapeId="0" xr:uid="{E351088B-F6B3-491A-90A6-298549C03488}">
      <text>
        <r>
          <rPr>
            <b/>
            <sz val="9"/>
            <color indexed="81"/>
            <rFont val="MS P ゴシック"/>
            <family val="3"/>
            <charset val="128"/>
          </rPr>
          <t>Administrator:</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H13" authorId="0" shapeId="0" xr:uid="{670D3BEE-580E-4483-B72C-BCBABC144CE4}">
      <text>
        <r>
          <rPr>
            <b/>
            <sz val="9"/>
            <color indexed="81"/>
            <rFont val="MS P ゴシック"/>
            <family val="3"/>
            <charset val="128"/>
          </rPr>
          <t>Administrator:</t>
        </r>
        <r>
          <rPr>
            <sz val="9"/>
            <color indexed="81"/>
            <rFont val="MS P ゴシック"/>
            <family val="3"/>
            <charset val="128"/>
          </rPr>
          <t xml:space="preserve">
</t>
        </r>
      </text>
    </comment>
  </commentList>
</comments>
</file>

<file path=xl/sharedStrings.xml><?xml version="1.0" encoding="utf-8"?>
<sst xmlns="http://schemas.openxmlformats.org/spreadsheetml/2006/main" count="1672" uniqueCount="574">
  <si>
    <t>施設名</t>
    <rPh sb="0" eb="3">
      <t>シセツメイ</t>
    </rPh>
    <phoneticPr fontId="1"/>
  </si>
  <si>
    <t>役職名</t>
    <rPh sb="0" eb="3">
      <t>ヤクショクメイ</t>
    </rPh>
    <phoneticPr fontId="1"/>
  </si>
  <si>
    <t>E-mail</t>
    <phoneticPr fontId="1"/>
  </si>
  <si>
    <t>電話番号</t>
    <rPh sb="0" eb="2">
      <t>デンワ</t>
    </rPh>
    <rPh sb="2" eb="4">
      <t>バンゴウ</t>
    </rPh>
    <phoneticPr fontId="1"/>
  </si>
  <si>
    <t>保健師</t>
    <rPh sb="0" eb="3">
      <t>ホケンシ</t>
    </rPh>
    <phoneticPr fontId="1"/>
  </si>
  <si>
    <t>助産師</t>
    <rPh sb="0" eb="3">
      <t>ジョサンシ</t>
    </rPh>
    <phoneticPr fontId="1"/>
  </si>
  <si>
    <t>看護師</t>
    <rPh sb="0" eb="3">
      <t>カンゴシ</t>
    </rPh>
    <phoneticPr fontId="1"/>
  </si>
  <si>
    <t>准看護師</t>
    <rPh sb="0" eb="4">
      <t>ジュンカンゴシ</t>
    </rPh>
    <phoneticPr fontId="1"/>
  </si>
  <si>
    <t>看護補助者</t>
    <rPh sb="0" eb="5">
      <t>カンゴホジョシャ</t>
    </rPh>
    <phoneticPr fontId="1"/>
  </si>
  <si>
    <t>実人員</t>
    <rPh sb="0" eb="3">
      <t>ジツジンイン</t>
    </rPh>
    <phoneticPr fontId="1"/>
  </si>
  <si>
    <t>※１　育児・介護等による短時間勤務制度を利用している職員を含む</t>
    <rPh sb="3" eb="5">
      <t>イクジ</t>
    </rPh>
    <rPh sb="6" eb="8">
      <t>カイゴ</t>
    </rPh>
    <rPh sb="8" eb="9">
      <t>ナド</t>
    </rPh>
    <rPh sb="12" eb="15">
      <t>タンジカン</t>
    </rPh>
    <rPh sb="15" eb="19">
      <t>キンムセイド</t>
    </rPh>
    <rPh sb="20" eb="22">
      <t>リヨウ</t>
    </rPh>
    <rPh sb="26" eb="28">
      <t>ショクイン</t>
    </rPh>
    <rPh sb="29" eb="30">
      <t>フク</t>
    </rPh>
    <phoneticPr fontId="1"/>
  </si>
  <si>
    <t>※２　臨時職員、嘱託職員、アルバイト、パートタイマー、派遣職員等</t>
    <rPh sb="3" eb="7">
      <t>リンジショクイン</t>
    </rPh>
    <rPh sb="8" eb="12">
      <t>ショクタクショクイン</t>
    </rPh>
    <rPh sb="27" eb="31">
      <t>ハケンショクイン</t>
    </rPh>
    <rPh sb="31" eb="32">
      <t>ナド</t>
    </rPh>
    <phoneticPr fontId="1"/>
  </si>
  <si>
    <t>16～20年</t>
    <rPh sb="5" eb="6">
      <t>ネン</t>
    </rPh>
    <phoneticPr fontId="1"/>
  </si>
  <si>
    <t>21年以上</t>
    <rPh sb="2" eb="3">
      <t>ネン</t>
    </rPh>
    <rPh sb="3" eb="5">
      <t>イジョウ</t>
    </rPh>
    <phoneticPr fontId="1"/>
  </si>
  <si>
    <t>20～29歳</t>
    <rPh sb="5" eb="6">
      <t>サイ</t>
    </rPh>
    <phoneticPr fontId="1"/>
  </si>
  <si>
    <t>30～39歳</t>
    <rPh sb="5" eb="6">
      <t>サイ</t>
    </rPh>
    <phoneticPr fontId="1"/>
  </si>
  <si>
    <t>40～49歳</t>
    <rPh sb="5" eb="6">
      <t>サイ</t>
    </rPh>
    <phoneticPr fontId="1"/>
  </si>
  <si>
    <t>50～59歳</t>
    <rPh sb="5" eb="6">
      <t>サイ</t>
    </rPh>
    <phoneticPr fontId="1"/>
  </si>
  <si>
    <t>60歳以上</t>
    <rPh sb="2" eb="5">
      <t>サイイジョウ</t>
    </rPh>
    <phoneticPr fontId="1"/>
  </si>
  <si>
    <t>）</t>
    <phoneticPr fontId="1"/>
  </si>
  <si>
    <r>
      <t>正規雇用職員</t>
    </r>
    <r>
      <rPr>
        <sz val="9"/>
        <color theme="1"/>
        <rFont val="ＭＳ Ｐゴシック"/>
        <family val="3"/>
        <charset val="128"/>
      </rPr>
      <t>※１</t>
    </r>
    <rPh sb="0" eb="4">
      <t>セイキコヨウ</t>
    </rPh>
    <rPh sb="4" eb="6">
      <t>ショクイン</t>
    </rPh>
    <phoneticPr fontId="1"/>
  </si>
  <si>
    <r>
      <t>非正規雇用職員</t>
    </r>
    <r>
      <rPr>
        <sz val="9"/>
        <color theme="1"/>
        <rFont val="ＭＳ Ｐゴシック"/>
        <family val="3"/>
        <charset val="128"/>
      </rPr>
      <t>※２</t>
    </r>
    <rPh sb="0" eb="5">
      <t>ヒセイキコヨウ</t>
    </rPh>
    <rPh sb="5" eb="7">
      <t>ショクイン</t>
    </rPh>
    <phoneticPr fontId="1"/>
  </si>
  <si>
    <r>
      <t>常勤換算</t>
    </r>
    <r>
      <rPr>
        <sz val="9"/>
        <color theme="1"/>
        <rFont val="ＭＳ Ｐゴシック"/>
        <family val="3"/>
        <charset val="128"/>
      </rPr>
      <t>※３</t>
    </r>
    <rPh sb="0" eb="2">
      <t>ジョウキン</t>
    </rPh>
    <rPh sb="2" eb="4">
      <t>カンサン</t>
    </rPh>
    <phoneticPr fontId="1"/>
  </si>
  <si>
    <t>その他　（</t>
    <rPh sb="2" eb="3">
      <t>タ</t>
    </rPh>
    <phoneticPr fontId="1"/>
  </si>
  <si>
    <t>人員配置の問題</t>
    <rPh sb="0" eb="4">
      <t>ジンインハイチ</t>
    </rPh>
    <rPh sb="5" eb="7">
      <t>モンダイ</t>
    </rPh>
    <phoneticPr fontId="1"/>
  </si>
  <si>
    <t>経費負担ができない</t>
    <rPh sb="0" eb="4">
      <t>ケイヒフタン</t>
    </rPh>
    <phoneticPr fontId="1"/>
  </si>
  <si>
    <t>希望者がいない</t>
    <rPh sb="0" eb="3">
      <t>キボウシャ</t>
    </rPh>
    <phoneticPr fontId="1"/>
  </si>
  <si>
    <t>院内活用ができない</t>
    <rPh sb="0" eb="4">
      <t>インナイカツヨウ</t>
    </rPh>
    <phoneticPr fontId="1"/>
  </si>
  <si>
    <t>必要性がない</t>
    <rPh sb="0" eb="3">
      <t>ヒツヨウセイ</t>
    </rPh>
    <phoneticPr fontId="1"/>
  </si>
  <si>
    <t>記入年月日</t>
    <rPh sb="0" eb="2">
      <t>キニュウ</t>
    </rPh>
    <rPh sb="2" eb="5">
      <t>ネンガッピ</t>
    </rPh>
    <phoneticPr fontId="1"/>
  </si>
  <si>
    <t>合計</t>
    <rPh sb="0" eb="2">
      <t>ゴウケイ</t>
    </rPh>
    <phoneticPr fontId="1"/>
  </si>
  <si>
    <t>常勤換算</t>
    <rPh sb="0" eb="4">
      <t>ジョウキンカンサン</t>
    </rPh>
    <phoneticPr fontId="1"/>
  </si>
  <si>
    <t>看護職員</t>
    <rPh sb="0" eb="4">
      <t>カンゴショクイン</t>
    </rPh>
    <phoneticPr fontId="1"/>
  </si>
  <si>
    <t>20代</t>
    <rPh sb="2" eb="3">
      <t>ダイ</t>
    </rPh>
    <phoneticPr fontId="1"/>
  </si>
  <si>
    <t>30代</t>
    <rPh sb="2" eb="3">
      <t>ダイ</t>
    </rPh>
    <phoneticPr fontId="1"/>
  </si>
  <si>
    <t>40代</t>
    <rPh sb="2" eb="3">
      <t>ダイ</t>
    </rPh>
    <phoneticPr fontId="1"/>
  </si>
  <si>
    <t>50代</t>
    <rPh sb="2" eb="3">
      <t>ダイ</t>
    </rPh>
    <phoneticPr fontId="1"/>
  </si>
  <si>
    <t>60歳～</t>
    <rPh sb="2" eb="3">
      <t>サイ</t>
    </rPh>
    <phoneticPr fontId="1"/>
  </si>
  <si>
    <t>退職年齢</t>
    <rPh sb="0" eb="4">
      <t>タイショクネンレイ</t>
    </rPh>
    <phoneticPr fontId="1"/>
  </si>
  <si>
    <t>精神</t>
    <rPh sb="0" eb="2">
      <t>セイシン</t>
    </rPh>
    <phoneticPr fontId="1"/>
  </si>
  <si>
    <t>退職理由</t>
    <rPh sb="0" eb="4">
      <t>タイショクリユウ</t>
    </rPh>
    <phoneticPr fontId="1"/>
  </si>
  <si>
    <t>救急</t>
    <rPh sb="0" eb="2">
      <t>キュウキュウ</t>
    </rPh>
    <phoneticPr fontId="1"/>
  </si>
  <si>
    <t>集中</t>
    <rPh sb="0" eb="2">
      <t>シュウチュウ</t>
    </rPh>
    <phoneticPr fontId="1"/>
  </si>
  <si>
    <t>皮膚</t>
    <rPh sb="0" eb="2">
      <t>ヒフ</t>
    </rPh>
    <phoneticPr fontId="1"/>
  </si>
  <si>
    <t>緩和</t>
    <rPh sb="0" eb="2">
      <t>カンワ</t>
    </rPh>
    <phoneticPr fontId="1"/>
  </si>
  <si>
    <t>疼痛</t>
    <rPh sb="0" eb="2">
      <t>トウツウ</t>
    </rPh>
    <phoneticPr fontId="1"/>
  </si>
  <si>
    <t>化学</t>
    <rPh sb="0" eb="2">
      <t>カガク</t>
    </rPh>
    <phoneticPr fontId="1"/>
  </si>
  <si>
    <t>訪看</t>
    <rPh sb="0" eb="2">
      <t>ホウカン</t>
    </rPh>
    <phoneticPr fontId="1"/>
  </si>
  <si>
    <t>感染</t>
    <rPh sb="0" eb="2">
      <t>カンセン</t>
    </rPh>
    <phoneticPr fontId="1"/>
  </si>
  <si>
    <t>糖尿</t>
    <rPh sb="0" eb="2">
      <t>トウニョウ</t>
    </rPh>
    <phoneticPr fontId="1"/>
  </si>
  <si>
    <t>不妊</t>
    <rPh sb="0" eb="2">
      <t>フニン</t>
    </rPh>
    <phoneticPr fontId="1"/>
  </si>
  <si>
    <t>新生児</t>
    <rPh sb="0" eb="3">
      <t>シンセイジ</t>
    </rPh>
    <phoneticPr fontId="1"/>
  </si>
  <si>
    <t>透析</t>
    <rPh sb="0" eb="2">
      <t>トウセキ</t>
    </rPh>
    <phoneticPr fontId="1"/>
  </si>
  <si>
    <t>手術</t>
    <rPh sb="0" eb="2">
      <t>シュジュツ</t>
    </rPh>
    <phoneticPr fontId="1"/>
  </si>
  <si>
    <t>乳がん</t>
    <rPh sb="0" eb="1">
      <t>ニュウ</t>
    </rPh>
    <phoneticPr fontId="1"/>
  </si>
  <si>
    <t>摂食</t>
    <rPh sb="0" eb="2">
      <t>セッショク</t>
    </rPh>
    <phoneticPr fontId="1"/>
  </si>
  <si>
    <t>小児</t>
    <rPh sb="0" eb="2">
      <t>ショウニ</t>
    </rPh>
    <phoneticPr fontId="1"/>
  </si>
  <si>
    <t>認知症</t>
    <rPh sb="0" eb="3">
      <t>ニンチショウ</t>
    </rPh>
    <phoneticPr fontId="1"/>
  </si>
  <si>
    <t>脳卒中</t>
    <rPh sb="0" eb="3">
      <t>ノウソッチュウ</t>
    </rPh>
    <phoneticPr fontId="1"/>
  </si>
  <si>
    <t>放射線</t>
    <rPh sb="0" eb="3">
      <t>ホウシャセン</t>
    </rPh>
    <phoneticPr fontId="1"/>
  </si>
  <si>
    <t>呼吸器</t>
    <rPh sb="0" eb="3">
      <t>コキュウキ</t>
    </rPh>
    <phoneticPr fontId="1"/>
  </si>
  <si>
    <t>心不全</t>
    <rPh sb="0" eb="3">
      <t>シンフゼン</t>
    </rPh>
    <phoneticPr fontId="1"/>
  </si>
  <si>
    <t>A課程</t>
    <rPh sb="1" eb="3">
      <t>カテイ</t>
    </rPh>
    <phoneticPr fontId="1"/>
  </si>
  <si>
    <t>ｸﾘﾃｨｶﾙ</t>
    <phoneticPr fontId="1"/>
  </si>
  <si>
    <t>薬物</t>
    <rPh sb="0" eb="2">
      <t>ヤクブツ</t>
    </rPh>
    <phoneticPr fontId="1"/>
  </si>
  <si>
    <t>在宅</t>
    <rPh sb="0" eb="2">
      <t>ザイタク</t>
    </rPh>
    <phoneticPr fontId="1"/>
  </si>
  <si>
    <t>生殖</t>
    <rPh sb="0" eb="2">
      <t>セイショク</t>
    </rPh>
    <phoneticPr fontId="1"/>
  </si>
  <si>
    <t>腎不全</t>
    <rPh sb="0" eb="3">
      <t>ジンフゼン</t>
    </rPh>
    <phoneticPr fontId="1"/>
  </si>
  <si>
    <t>B課程</t>
    <rPh sb="1" eb="3">
      <t>カテイ</t>
    </rPh>
    <phoneticPr fontId="1"/>
  </si>
  <si>
    <t>気道</t>
    <rPh sb="0" eb="2">
      <t>キドウ</t>
    </rPh>
    <phoneticPr fontId="1"/>
  </si>
  <si>
    <t>人工呼吸</t>
    <rPh sb="0" eb="2">
      <t>ジンコウ</t>
    </rPh>
    <rPh sb="2" eb="4">
      <t>コキュウ</t>
    </rPh>
    <phoneticPr fontId="1"/>
  </si>
  <si>
    <t>長期呼吸</t>
    <rPh sb="0" eb="4">
      <t>チョウキコキュウ</t>
    </rPh>
    <phoneticPr fontId="1"/>
  </si>
  <si>
    <t>循環器</t>
    <rPh sb="0" eb="3">
      <t>ジュンカンキ</t>
    </rPh>
    <phoneticPr fontId="1"/>
  </si>
  <si>
    <t>心嚢</t>
    <rPh sb="0" eb="1">
      <t>シン</t>
    </rPh>
    <rPh sb="1" eb="2">
      <t>ノウ</t>
    </rPh>
    <phoneticPr fontId="1"/>
  </si>
  <si>
    <t>胸腔</t>
    <rPh sb="0" eb="2">
      <t>キョウクウ</t>
    </rPh>
    <phoneticPr fontId="1"/>
  </si>
  <si>
    <t>腹腔</t>
    <rPh sb="0" eb="1">
      <t>フク</t>
    </rPh>
    <rPh sb="1" eb="2">
      <t>クウ</t>
    </rPh>
    <phoneticPr fontId="1"/>
  </si>
  <si>
    <t>ろう孔</t>
    <rPh sb="2" eb="3">
      <t>コウ</t>
    </rPh>
    <phoneticPr fontId="1"/>
  </si>
  <si>
    <t>中心静脈</t>
    <rPh sb="0" eb="2">
      <t>チュウシン</t>
    </rPh>
    <rPh sb="2" eb="4">
      <t>ジョウミャク</t>
    </rPh>
    <phoneticPr fontId="1"/>
  </si>
  <si>
    <t>末梢留置</t>
    <rPh sb="0" eb="4">
      <t>マッショウリュウチ</t>
    </rPh>
    <phoneticPr fontId="1"/>
  </si>
  <si>
    <t>創傷管理</t>
    <rPh sb="0" eb="4">
      <t>ソウショウカンリ</t>
    </rPh>
    <phoneticPr fontId="1"/>
  </si>
  <si>
    <t>創部</t>
    <rPh sb="0" eb="2">
      <t>ソウブ</t>
    </rPh>
    <phoneticPr fontId="1"/>
  </si>
  <si>
    <t>血ガス</t>
    <rPh sb="0" eb="1">
      <t>ケツ</t>
    </rPh>
    <phoneticPr fontId="1"/>
  </si>
  <si>
    <t>栄養</t>
    <rPh sb="0" eb="2">
      <t>エイヨウ</t>
    </rPh>
    <phoneticPr fontId="1"/>
  </si>
  <si>
    <t>血糖</t>
    <rPh sb="0" eb="2">
      <t>ケットウ</t>
    </rPh>
    <phoneticPr fontId="1"/>
  </si>
  <si>
    <t>術後疼痛</t>
    <rPh sb="0" eb="2">
      <t>ジュツゴ</t>
    </rPh>
    <rPh sb="2" eb="4">
      <t>トウツウ</t>
    </rPh>
    <phoneticPr fontId="1"/>
  </si>
  <si>
    <t>循環動態</t>
    <rPh sb="0" eb="4">
      <t>ジュンカンドウタイ</t>
    </rPh>
    <phoneticPr fontId="1"/>
  </si>
  <si>
    <t>皮膚損傷</t>
    <rPh sb="0" eb="2">
      <t>ヒフ</t>
    </rPh>
    <rPh sb="2" eb="4">
      <t>ソンショウ</t>
    </rPh>
    <phoneticPr fontId="1"/>
  </si>
  <si>
    <t>勤務時間／週</t>
    <rPh sb="0" eb="2">
      <t>キンム</t>
    </rPh>
    <rPh sb="2" eb="4">
      <t>ジカン</t>
    </rPh>
    <rPh sb="5" eb="6">
      <t>シュウ</t>
    </rPh>
    <phoneticPr fontId="12"/>
  </si>
  <si>
    <t>人数</t>
    <rPh sb="0" eb="2">
      <t>ニンズウ</t>
    </rPh>
    <phoneticPr fontId="12"/>
  </si>
  <si>
    <t>常勤
換算値</t>
    <rPh sb="0" eb="2">
      <t>ジョウキン</t>
    </rPh>
    <rPh sb="3" eb="5">
      <t>カンサン</t>
    </rPh>
    <rPh sb="5" eb="6">
      <t>チ</t>
    </rPh>
    <phoneticPr fontId="12"/>
  </si>
  <si>
    <t>計</t>
    <rPh sb="0" eb="1">
      <t>ケイ</t>
    </rPh>
    <phoneticPr fontId="12"/>
  </si>
  <si>
    <t>正規雇用</t>
    <rPh sb="0" eb="4">
      <t>セイキコヨウ</t>
    </rPh>
    <phoneticPr fontId="1"/>
  </si>
  <si>
    <t>うち自己都合</t>
    <rPh sb="2" eb="6">
      <t>ジコツゴウ</t>
    </rPh>
    <phoneticPr fontId="1"/>
  </si>
  <si>
    <t>退職人数</t>
    <rPh sb="0" eb="2">
      <t>タイショク</t>
    </rPh>
    <rPh sb="2" eb="4">
      <t>ニンズウ</t>
    </rPh>
    <phoneticPr fontId="1"/>
  </si>
  <si>
    <t>退職時勤務年数</t>
    <rPh sb="0" eb="2">
      <t>タイショク</t>
    </rPh>
    <rPh sb="2" eb="3">
      <t>ジ</t>
    </rPh>
    <rPh sb="3" eb="5">
      <t>キンム</t>
    </rPh>
    <rPh sb="5" eb="7">
      <t>ネンスウ</t>
    </rPh>
    <phoneticPr fontId="1"/>
  </si>
  <si>
    <t>～1年</t>
    <rPh sb="2" eb="3">
      <t>ネン</t>
    </rPh>
    <phoneticPr fontId="1"/>
  </si>
  <si>
    <t>1～5年</t>
    <rPh sb="3" eb="4">
      <t>ネン</t>
    </rPh>
    <phoneticPr fontId="1"/>
  </si>
  <si>
    <t>6～10年</t>
    <rPh sb="4" eb="5">
      <t>ネン</t>
    </rPh>
    <phoneticPr fontId="1"/>
  </si>
  <si>
    <t>11～15年</t>
    <rPh sb="5" eb="6">
      <t>ネン</t>
    </rPh>
    <phoneticPr fontId="1"/>
  </si>
  <si>
    <t>21年～</t>
    <rPh sb="2" eb="3">
      <t>ネン</t>
    </rPh>
    <phoneticPr fontId="1"/>
  </si>
  <si>
    <t>非正規雇用</t>
    <rPh sb="0" eb="1">
      <t>ヒ</t>
    </rPh>
    <rPh sb="1" eb="5">
      <t>セイキコヨウ</t>
    </rPh>
    <phoneticPr fontId="1"/>
  </si>
  <si>
    <t>派遣していない</t>
    <rPh sb="0" eb="2">
      <t>ハケン</t>
    </rPh>
    <phoneticPr fontId="1"/>
  </si>
  <si>
    <t>看護補助者</t>
    <rPh sb="0" eb="2">
      <t>カンゴ</t>
    </rPh>
    <rPh sb="2" eb="5">
      <t>ホジョシャ</t>
    </rPh>
    <phoneticPr fontId="1"/>
  </si>
  <si>
    <t>正規・非正規合計</t>
    <rPh sb="0" eb="2">
      <t>セイキ</t>
    </rPh>
    <rPh sb="3" eb="4">
      <t>ヒ</t>
    </rPh>
    <rPh sb="4" eb="6">
      <t>セイキ</t>
    </rPh>
    <rPh sb="6" eb="8">
      <t>ゴウケイ</t>
    </rPh>
    <phoneticPr fontId="1"/>
  </si>
  <si>
    <t>職種</t>
    <rPh sb="0" eb="2">
      <t>ショクシュ</t>
    </rPh>
    <phoneticPr fontId="12"/>
  </si>
  <si>
    <t>看護師</t>
    <rPh sb="0" eb="3">
      <t>カンゴシ</t>
    </rPh>
    <phoneticPr fontId="12"/>
  </si>
  <si>
    <t>保健師</t>
    <rPh sb="0" eb="3">
      <t>ホケンシ</t>
    </rPh>
    <phoneticPr fontId="12"/>
  </si>
  <si>
    <t>助産師</t>
    <rPh sb="0" eb="3">
      <t>ジョサンシ</t>
    </rPh>
    <phoneticPr fontId="12"/>
  </si>
  <si>
    <t>准看護師</t>
    <rPh sb="0" eb="4">
      <t>ジュンカンゴシ</t>
    </rPh>
    <phoneticPr fontId="12"/>
  </si>
  <si>
    <t>常勤換算計算表</t>
    <rPh sb="0" eb="4">
      <t>ジョウキンカンサン</t>
    </rPh>
    <rPh sb="4" eb="7">
      <t>ケイサンヒョウ</t>
    </rPh>
    <phoneticPr fontId="1"/>
  </si>
  <si>
    <t>病院が定める
常勤時間／週</t>
    <rPh sb="0" eb="2">
      <t>ビョウイン</t>
    </rPh>
    <rPh sb="3" eb="4">
      <t>サダ</t>
    </rPh>
    <rPh sb="7" eb="9">
      <t>ジョウキン</t>
    </rPh>
    <rPh sb="9" eb="11">
      <t>ジカン</t>
    </rPh>
    <rPh sb="12" eb="13">
      <t>シュウ</t>
    </rPh>
    <phoneticPr fontId="12"/>
  </si>
  <si>
    <t>勤務形態</t>
    <rPh sb="0" eb="2">
      <t>キンム</t>
    </rPh>
    <rPh sb="2" eb="4">
      <t>ケイタイ</t>
    </rPh>
    <phoneticPr fontId="12"/>
  </si>
  <si>
    <r>
      <t xml:space="preserve">非常勤
</t>
    </r>
    <r>
      <rPr>
        <sz val="10"/>
        <rFont val="ＭＳ ゴシック"/>
        <family val="3"/>
        <charset val="128"/>
      </rPr>
      <t>（短時間勤務）</t>
    </r>
    <rPh sb="0" eb="3">
      <t>ヒジョウキン</t>
    </rPh>
    <rPh sb="5" eb="8">
      <t>タンジカン</t>
    </rPh>
    <rPh sb="8" eb="10">
      <t>キンム</t>
    </rPh>
    <phoneticPr fontId="12"/>
  </si>
  <si>
    <r>
      <t xml:space="preserve">常勤
</t>
    </r>
    <r>
      <rPr>
        <sz val="10"/>
        <rFont val="ＭＳ ゴシック"/>
        <family val="3"/>
        <charset val="128"/>
      </rPr>
      <t>（フルタイム）</t>
    </r>
    <rPh sb="0" eb="2">
      <t>ジョウキン</t>
    </rPh>
    <phoneticPr fontId="12"/>
  </si>
  <si>
    <t>医療事故や責任の重さへの不安</t>
    <rPh sb="0" eb="4">
      <t>イリョウジコ</t>
    </rPh>
    <rPh sb="5" eb="7">
      <t>セキニン</t>
    </rPh>
    <rPh sb="8" eb="9">
      <t>オモ</t>
    </rPh>
    <rPh sb="12" eb="14">
      <t>フアン</t>
    </rPh>
    <phoneticPr fontId="1"/>
  </si>
  <si>
    <t>提出先</t>
    <rPh sb="0" eb="3">
      <t>テイシュツサキ</t>
    </rPh>
    <phoneticPr fontId="1"/>
  </si>
  <si>
    <t>送付先</t>
    <rPh sb="0" eb="3">
      <t>ソウフサキ</t>
    </rPh>
    <phoneticPr fontId="1"/>
  </si>
  <si>
    <t>山口県健康福祉部　医療政策課　看護指導班　</t>
    <rPh sb="0" eb="3">
      <t>ヤマグチケン</t>
    </rPh>
    <rPh sb="3" eb="8">
      <t>ケンコウフクシブ</t>
    </rPh>
    <rPh sb="9" eb="14">
      <t>イリョウセイサクカ</t>
    </rPh>
    <rPh sb="15" eb="20">
      <t>カンゴシドウハン</t>
    </rPh>
    <phoneticPr fontId="1"/>
  </si>
  <si>
    <t>回答期限</t>
    <rPh sb="0" eb="2">
      <t>カイトウ</t>
    </rPh>
    <rPh sb="2" eb="4">
      <t>キゲン</t>
    </rPh>
    <phoneticPr fontId="1"/>
  </si>
  <si>
    <t>a11700@pref.yamaguchi.lg.jp</t>
    <phoneticPr fontId="1"/>
  </si>
  <si>
    <t>問１　施設基本情報</t>
    <rPh sb="0" eb="1">
      <t>トイ</t>
    </rPh>
    <rPh sb="3" eb="5">
      <t>シセツ</t>
    </rPh>
    <rPh sb="5" eb="9">
      <t>キホンジョウホウ</t>
    </rPh>
    <phoneticPr fontId="1"/>
  </si>
  <si>
    <t>看護行政施策の基礎資料とするため、次の調査にご協力ください。</t>
    <rPh sb="0" eb="2">
      <t>カンゴ</t>
    </rPh>
    <rPh sb="2" eb="4">
      <t>ギョウセイ</t>
    </rPh>
    <rPh sb="4" eb="6">
      <t>シサク</t>
    </rPh>
    <rPh sb="7" eb="11">
      <t>キソシリョウ</t>
    </rPh>
    <rPh sb="17" eb="18">
      <t>ツギ</t>
    </rPh>
    <rPh sb="19" eb="21">
      <t>チョウサ</t>
    </rPh>
    <rPh sb="23" eb="25">
      <t>キョウリョク</t>
    </rPh>
    <phoneticPr fontId="1"/>
  </si>
  <si>
    <t>希望があれば派遣する</t>
    <rPh sb="0" eb="2">
      <t>キボウ</t>
    </rPh>
    <rPh sb="6" eb="8">
      <t>ハケン</t>
    </rPh>
    <phoneticPr fontId="1"/>
  </si>
  <si>
    <t>職員を計画的に派遣している</t>
    <rPh sb="0" eb="2">
      <t>ショクイン</t>
    </rPh>
    <rPh sb="3" eb="5">
      <t>ケイカク</t>
    </rPh>
    <rPh sb="5" eb="6">
      <t>テキ</t>
    </rPh>
    <rPh sb="7" eb="9">
      <t>ハケン</t>
    </rPh>
    <phoneticPr fontId="1"/>
  </si>
  <si>
    <t>職員を計画的に派遣している</t>
    <rPh sb="0" eb="2">
      <t>ショクイン</t>
    </rPh>
    <rPh sb="3" eb="6">
      <t>ケイカクテキ</t>
    </rPh>
    <rPh sb="7" eb="9">
      <t>ハケン</t>
    </rPh>
    <phoneticPr fontId="1"/>
  </si>
  <si>
    <t>看護師のスキルアップ</t>
    <rPh sb="0" eb="3">
      <t>カンゴシ</t>
    </rPh>
    <phoneticPr fontId="1"/>
  </si>
  <si>
    <t>看護の質向上</t>
    <rPh sb="0" eb="2">
      <t>カンゴ</t>
    </rPh>
    <rPh sb="3" eb="6">
      <t>シツコウジョウ</t>
    </rPh>
    <phoneticPr fontId="1"/>
  </si>
  <si>
    <t>医師と看護師の協働の推進</t>
    <rPh sb="0" eb="2">
      <t>イシ</t>
    </rPh>
    <rPh sb="3" eb="6">
      <t>カンゴシ</t>
    </rPh>
    <rPh sb="7" eb="9">
      <t>キョウドウ</t>
    </rPh>
    <rPh sb="10" eb="12">
      <t>スイシン</t>
    </rPh>
    <phoneticPr fontId="1"/>
  </si>
  <si>
    <t>医師の業務負担の軽減（タスクシフト）</t>
    <rPh sb="0" eb="2">
      <t>イシ</t>
    </rPh>
    <rPh sb="3" eb="7">
      <t>ギョウムフタン</t>
    </rPh>
    <rPh sb="8" eb="10">
      <t>ケイゲン</t>
    </rPh>
    <phoneticPr fontId="1"/>
  </si>
  <si>
    <t>その他　（　　　　　　　　　　　　　　　　　　</t>
    <rPh sb="2" eb="3">
      <t>タ</t>
    </rPh>
    <phoneticPr fontId="1"/>
  </si>
  <si>
    <t>（４）認定看護師の資格取得に対して、職員の研修等への派遣状況を教えてください。</t>
    <rPh sb="3" eb="5">
      <t>ニンテイ</t>
    </rPh>
    <rPh sb="5" eb="8">
      <t>カンゴシ</t>
    </rPh>
    <rPh sb="9" eb="11">
      <t>シカク</t>
    </rPh>
    <rPh sb="11" eb="13">
      <t>シュトク</t>
    </rPh>
    <rPh sb="14" eb="15">
      <t>タイ</t>
    </rPh>
    <rPh sb="18" eb="20">
      <t>ショクイン</t>
    </rPh>
    <rPh sb="21" eb="24">
      <t>ケンシュウナド</t>
    </rPh>
    <rPh sb="26" eb="28">
      <t>ハケン</t>
    </rPh>
    <rPh sb="28" eb="30">
      <t>ジョウキョウ</t>
    </rPh>
    <rPh sb="31" eb="32">
      <t>オシ</t>
    </rPh>
    <phoneticPr fontId="1"/>
  </si>
  <si>
    <t>（３） （１）で認定看護師が１人以上いる場合、貴施設における認定看護師の活動内容を教えてください。（※ 複数回答可）</t>
    <rPh sb="8" eb="10">
      <t>ニンテイ</t>
    </rPh>
    <rPh sb="10" eb="13">
      <t>カンゴシ</t>
    </rPh>
    <rPh sb="15" eb="16">
      <t>ニン</t>
    </rPh>
    <rPh sb="16" eb="18">
      <t>イジョウ</t>
    </rPh>
    <rPh sb="20" eb="22">
      <t>バアイ</t>
    </rPh>
    <rPh sb="23" eb="26">
      <t>キシセツ</t>
    </rPh>
    <rPh sb="30" eb="35">
      <t>ニンテイカンゴシ</t>
    </rPh>
    <rPh sb="36" eb="38">
      <t>カツドウ</t>
    </rPh>
    <rPh sb="38" eb="40">
      <t>ナイヨウ</t>
    </rPh>
    <rPh sb="41" eb="42">
      <t>オシ</t>
    </rPh>
    <rPh sb="52" eb="57">
      <t>フクスウカイトウカ</t>
    </rPh>
    <phoneticPr fontId="1"/>
  </si>
  <si>
    <t>（４）特定行為研修修了看護師の資格取得に対して、職員の研修等への派遣状況を教えてください。</t>
    <rPh sb="3" eb="7">
      <t>トクテイコウイ</t>
    </rPh>
    <rPh sb="7" eb="9">
      <t>ケンシュウ</t>
    </rPh>
    <rPh sb="9" eb="11">
      <t>シュウリョウ</t>
    </rPh>
    <rPh sb="11" eb="14">
      <t>カンゴシ</t>
    </rPh>
    <phoneticPr fontId="1"/>
  </si>
  <si>
    <t>看護師の負担が増大する</t>
    <rPh sb="0" eb="3">
      <t>カンゴシ</t>
    </rPh>
    <rPh sb="4" eb="6">
      <t>フタン</t>
    </rPh>
    <rPh sb="7" eb="9">
      <t>ゾウダイ</t>
    </rPh>
    <phoneticPr fontId="1"/>
  </si>
  <si>
    <t>効果があると思わない</t>
    <rPh sb="0" eb="2">
      <t>コウカ</t>
    </rPh>
    <rPh sb="6" eb="7">
      <t>オモ</t>
    </rPh>
    <phoneticPr fontId="1"/>
  </si>
  <si>
    <t>ある</t>
    <phoneticPr fontId="1"/>
  </si>
  <si>
    <t>ない</t>
    <phoneticPr fontId="1"/>
  </si>
  <si>
    <t>院内研修・研修プログラムの担当、指導</t>
    <rPh sb="0" eb="4">
      <t>インナイケンシュウ</t>
    </rPh>
    <rPh sb="5" eb="7">
      <t>ケンシュウ</t>
    </rPh>
    <rPh sb="13" eb="15">
      <t>タントウ</t>
    </rPh>
    <rPh sb="16" eb="18">
      <t>シドウ</t>
    </rPh>
    <phoneticPr fontId="1"/>
  </si>
  <si>
    <t>学会や自治体、看護協会等における委員会活動等</t>
    <rPh sb="0" eb="2">
      <t>ガッカイ</t>
    </rPh>
    <rPh sb="3" eb="6">
      <t>ジチタイ</t>
    </rPh>
    <rPh sb="7" eb="12">
      <t>カンゴキョウカイトウ</t>
    </rPh>
    <rPh sb="16" eb="21">
      <t>イインカイカツドウ</t>
    </rPh>
    <rPh sb="21" eb="22">
      <t>トウ</t>
    </rPh>
    <phoneticPr fontId="1"/>
  </si>
  <si>
    <t>看護研究（共同研究、指導・助言含む）</t>
    <rPh sb="0" eb="4">
      <t>カンゴケンキュウ</t>
    </rPh>
    <rPh sb="5" eb="9">
      <t>キョウドウケンキュウ</t>
    </rPh>
    <rPh sb="10" eb="12">
      <t>シドウ</t>
    </rPh>
    <rPh sb="13" eb="15">
      <t>ジョゲン</t>
    </rPh>
    <rPh sb="15" eb="16">
      <t>フク</t>
    </rPh>
    <phoneticPr fontId="1"/>
  </si>
  <si>
    <t>一般住民への指導、社会活動等</t>
    <rPh sb="0" eb="4">
      <t>イッパンジュウミン</t>
    </rPh>
    <rPh sb="6" eb="8">
      <t>シドウ</t>
    </rPh>
    <rPh sb="9" eb="14">
      <t>シャカイカツドウトウ</t>
    </rPh>
    <phoneticPr fontId="1"/>
  </si>
  <si>
    <t>所属施設外の職員への指導</t>
    <rPh sb="0" eb="5">
      <t>ショゾクシセツガイ</t>
    </rPh>
    <rPh sb="6" eb="8">
      <t>ショクイン</t>
    </rPh>
    <rPh sb="10" eb="12">
      <t>シドウ</t>
    </rPh>
    <phoneticPr fontId="1"/>
  </si>
  <si>
    <t>院内職員への指導・相談</t>
    <rPh sb="0" eb="2">
      <t>インナイ</t>
    </rPh>
    <rPh sb="2" eb="4">
      <t>ショクイン</t>
    </rPh>
    <rPh sb="6" eb="8">
      <t>シドウ</t>
    </rPh>
    <rPh sb="9" eb="11">
      <t>ソウダン</t>
    </rPh>
    <phoneticPr fontId="1"/>
  </si>
  <si>
    <t>人数</t>
    <rPh sb="0" eb="2">
      <t>ニンズウ</t>
    </rPh>
    <phoneticPr fontId="1"/>
  </si>
  <si>
    <t>認定看護師教育としての講義、看護学生講義等</t>
    <rPh sb="0" eb="7">
      <t>ニンテイカンゴシキョウイク</t>
    </rPh>
    <rPh sb="11" eb="13">
      <t>コウギ</t>
    </rPh>
    <rPh sb="14" eb="21">
      <t>カンゴガクセイコウギトウ</t>
    </rPh>
    <phoneticPr fontId="1"/>
  </si>
  <si>
    <t>認定者数</t>
    <rPh sb="0" eb="4">
      <t>ニンテイシャスウ</t>
    </rPh>
    <phoneticPr fontId="1"/>
  </si>
  <si>
    <t>精神</t>
    <rPh sb="0" eb="2">
      <t>セイシン</t>
    </rPh>
    <phoneticPr fontId="1"/>
  </si>
  <si>
    <t>１　認定看護師</t>
    <rPh sb="2" eb="7">
      <t>ニンテイカンゴシ</t>
    </rPh>
    <phoneticPr fontId="1"/>
  </si>
  <si>
    <t>（１）</t>
    <phoneticPr fontId="1"/>
  </si>
  <si>
    <t>（２）</t>
    <phoneticPr fontId="1"/>
  </si>
  <si>
    <t>院内指導</t>
    <rPh sb="0" eb="2">
      <t>インナイ</t>
    </rPh>
    <rPh sb="2" eb="4">
      <t>シドウ</t>
    </rPh>
    <phoneticPr fontId="1"/>
  </si>
  <si>
    <t>院内研修</t>
    <rPh sb="0" eb="4">
      <t>インナイケンシュウ</t>
    </rPh>
    <phoneticPr fontId="1"/>
  </si>
  <si>
    <t>研究</t>
    <rPh sb="0" eb="2">
      <t>ケンキュウ</t>
    </rPh>
    <phoneticPr fontId="1"/>
  </si>
  <si>
    <t>院外指導</t>
    <rPh sb="0" eb="4">
      <t>インガイシドウ</t>
    </rPh>
    <phoneticPr fontId="1"/>
  </si>
  <si>
    <t>学生指導</t>
    <rPh sb="0" eb="4">
      <t>ガクセイシドウ</t>
    </rPh>
    <phoneticPr fontId="1"/>
  </si>
  <si>
    <t>委員会</t>
    <rPh sb="0" eb="3">
      <t>イインカイ</t>
    </rPh>
    <phoneticPr fontId="1"/>
  </si>
  <si>
    <t>一般住民</t>
    <rPh sb="0" eb="4">
      <t>イッパンジュウミン</t>
    </rPh>
    <phoneticPr fontId="1"/>
  </si>
  <si>
    <t>その他</t>
    <rPh sb="2" eb="3">
      <t>タ</t>
    </rPh>
    <phoneticPr fontId="1"/>
  </si>
  <si>
    <t>（３）</t>
    <phoneticPr fontId="1"/>
  </si>
  <si>
    <t>計画的派遣</t>
    <rPh sb="0" eb="3">
      <t>ケイカクテキ</t>
    </rPh>
    <rPh sb="3" eb="5">
      <t>ハケン</t>
    </rPh>
    <phoneticPr fontId="1"/>
  </si>
  <si>
    <t>希望</t>
    <rPh sb="0" eb="2">
      <t>キボウ</t>
    </rPh>
    <phoneticPr fontId="1"/>
  </si>
  <si>
    <t>派遣なし</t>
    <rPh sb="0" eb="2">
      <t>ハケン</t>
    </rPh>
    <phoneticPr fontId="1"/>
  </si>
  <si>
    <t>（４）</t>
    <phoneticPr fontId="1"/>
  </si>
  <si>
    <t>（５）</t>
    <phoneticPr fontId="1"/>
  </si>
  <si>
    <t>派遣計画</t>
    <rPh sb="0" eb="4">
      <t>ハケンケイカク</t>
    </rPh>
    <phoneticPr fontId="1"/>
  </si>
  <si>
    <t>（６）</t>
    <phoneticPr fontId="1"/>
  </si>
  <si>
    <t>人員配置</t>
    <rPh sb="0" eb="4">
      <t>ジンインハイチ</t>
    </rPh>
    <phoneticPr fontId="1"/>
  </si>
  <si>
    <t>経費</t>
    <rPh sb="0" eb="2">
      <t>ケイヒ</t>
    </rPh>
    <phoneticPr fontId="1"/>
  </si>
  <si>
    <t>希望なし</t>
    <rPh sb="0" eb="2">
      <t>キボウ</t>
    </rPh>
    <phoneticPr fontId="1"/>
  </si>
  <si>
    <t>活用できない</t>
    <rPh sb="0" eb="2">
      <t>カツヨウ</t>
    </rPh>
    <phoneticPr fontId="1"/>
  </si>
  <si>
    <t>必要性なし</t>
    <rPh sb="0" eb="3">
      <t>ヒツヨウセイ</t>
    </rPh>
    <phoneticPr fontId="1"/>
  </si>
  <si>
    <t>修了者数</t>
    <rPh sb="0" eb="4">
      <t>シュウリョウシャスウ</t>
    </rPh>
    <phoneticPr fontId="1"/>
  </si>
  <si>
    <t>２　特定行為</t>
    <rPh sb="2" eb="6">
      <t>トクテイコウイ</t>
    </rPh>
    <phoneticPr fontId="1"/>
  </si>
  <si>
    <t>人数</t>
    <rPh sb="0" eb="2">
      <t>ニンズウ</t>
    </rPh>
    <phoneticPr fontId="1"/>
  </si>
  <si>
    <t>実績</t>
    <rPh sb="0" eb="2">
      <t>ジッセキ</t>
    </rPh>
    <phoneticPr fontId="1"/>
  </si>
  <si>
    <t>スキルアップ</t>
    <phoneticPr fontId="1"/>
  </si>
  <si>
    <t>質向上</t>
    <rPh sb="0" eb="3">
      <t>シツコウジョウ</t>
    </rPh>
    <phoneticPr fontId="1"/>
  </si>
  <si>
    <t>協働</t>
    <rPh sb="0" eb="2">
      <t>キョウドウ</t>
    </rPh>
    <phoneticPr fontId="1"/>
  </si>
  <si>
    <t>タスクシフト</t>
    <phoneticPr fontId="1"/>
  </si>
  <si>
    <t>効果なし</t>
    <rPh sb="0" eb="2">
      <t>コウカ</t>
    </rPh>
    <phoneticPr fontId="1"/>
  </si>
  <si>
    <t>（７）</t>
    <phoneticPr fontId="1"/>
  </si>
  <si>
    <t>ある</t>
    <phoneticPr fontId="1"/>
  </si>
  <si>
    <t>ない</t>
    <phoneticPr fontId="1"/>
  </si>
  <si>
    <t>（８）</t>
    <phoneticPr fontId="1"/>
  </si>
  <si>
    <t>（７） 貴施設は、特定行為研修の研修機関指定を受けていますか。</t>
    <rPh sb="4" eb="7">
      <t>キシセツ</t>
    </rPh>
    <rPh sb="9" eb="15">
      <t>トクテイコウイケンシュウ</t>
    </rPh>
    <rPh sb="16" eb="18">
      <t>ケンシュウ</t>
    </rPh>
    <rPh sb="18" eb="20">
      <t>キカン</t>
    </rPh>
    <rPh sb="20" eb="22">
      <t>シテイ</t>
    </rPh>
    <rPh sb="23" eb="24">
      <t>ウ</t>
    </rPh>
    <phoneticPr fontId="1"/>
  </si>
  <si>
    <t>指定を受けている</t>
    <rPh sb="0" eb="2">
      <t>シテイ</t>
    </rPh>
    <rPh sb="3" eb="4">
      <t>ウ</t>
    </rPh>
    <phoneticPr fontId="1"/>
  </si>
  <si>
    <t>指定を受けていない</t>
    <rPh sb="0" eb="2">
      <t>シテイ</t>
    </rPh>
    <rPh sb="3" eb="4">
      <t>ウ</t>
    </rPh>
    <phoneticPr fontId="1"/>
  </si>
  <si>
    <t xml:space="preserve">（８）（７）で「指定を受けていない」と回答した場合、今後5年以内に指定を受ける予定がありますか。 </t>
    <rPh sb="8" eb="10">
      <t>シテイ</t>
    </rPh>
    <rPh sb="11" eb="12">
      <t>ウ</t>
    </rPh>
    <rPh sb="19" eb="21">
      <t>カイトウ</t>
    </rPh>
    <rPh sb="23" eb="25">
      <t>バアイ</t>
    </rPh>
    <rPh sb="26" eb="28">
      <t>コンゴ</t>
    </rPh>
    <rPh sb="29" eb="32">
      <t>ネンイナイ</t>
    </rPh>
    <rPh sb="33" eb="35">
      <t>シテイ</t>
    </rPh>
    <rPh sb="36" eb="37">
      <t>ウ</t>
    </rPh>
    <rPh sb="39" eb="41">
      <t>ヨテイ</t>
    </rPh>
    <phoneticPr fontId="1"/>
  </si>
  <si>
    <t>指定あり</t>
    <rPh sb="0" eb="2">
      <t>シテイ</t>
    </rPh>
    <phoneticPr fontId="1"/>
  </si>
  <si>
    <t>指定なし</t>
    <rPh sb="0" eb="2">
      <t>シテイ</t>
    </rPh>
    <phoneticPr fontId="1"/>
  </si>
  <si>
    <t>負担増大</t>
    <rPh sb="0" eb="4">
      <t>フタンゾウダイ</t>
    </rPh>
    <phoneticPr fontId="1"/>
  </si>
  <si>
    <t>20代</t>
    <rPh sb="2" eb="3">
      <t>ダイ</t>
    </rPh>
    <phoneticPr fontId="1"/>
  </si>
  <si>
    <t>30代</t>
    <rPh sb="2" eb="3">
      <t>ダイ</t>
    </rPh>
    <phoneticPr fontId="1"/>
  </si>
  <si>
    <t>40代</t>
    <rPh sb="2" eb="3">
      <t>ダイ</t>
    </rPh>
    <phoneticPr fontId="1"/>
  </si>
  <si>
    <t>50代</t>
    <rPh sb="2" eb="3">
      <t>ダイ</t>
    </rPh>
    <phoneticPr fontId="1"/>
  </si>
  <si>
    <t>60歳～</t>
    <rPh sb="2" eb="3">
      <t>サイ</t>
    </rPh>
    <phoneticPr fontId="1"/>
  </si>
  <si>
    <t>新卒</t>
    <rPh sb="0" eb="2">
      <t>シンソツ</t>
    </rPh>
    <phoneticPr fontId="1"/>
  </si>
  <si>
    <t>合計</t>
    <rPh sb="0" eb="2">
      <t>ゴウケイ</t>
    </rPh>
    <phoneticPr fontId="1"/>
  </si>
  <si>
    <t>他職種</t>
    <rPh sb="0" eb="3">
      <t>タショクシュ</t>
    </rPh>
    <phoneticPr fontId="1"/>
  </si>
  <si>
    <t>キャリアアップ</t>
    <phoneticPr fontId="1"/>
  </si>
  <si>
    <t>休暇</t>
    <rPh sb="0" eb="2">
      <t>キュウカ</t>
    </rPh>
    <phoneticPr fontId="1"/>
  </si>
  <si>
    <t>～19歳</t>
    <rPh sb="3" eb="4">
      <t>サイ</t>
    </rPh>
    <phoneticPr fontId="1"/>
  </si>
  <si>
    <t>採用時年齢</t>
    <rPh sb="0" eb="5">
      <t>サイヨウジネンレイ</t>
    </rPh>
    <phoneticPr fontId="1"/>
  </si>
  <si>
    <t>～19歳</t>
    <rPh sb="3" eb="4">
      <t>サイ</t>
    </rPh>
    <phoneticPr fontId="1"/>
  </si>
  <si>
    <t>結婚</t>
    <rPh sb="0" eb="2">
      <t>ケッコン</t>
    </rPh>
    <phoneticPr fontId="1"/>
  </si>
  <si>
    <t>出産・育児</t>
    <rPh sb="0" eb="2">
      <t>シュッサン</t>
    </rPh>
    <rPh sb="3" eb="5">
      <t>イクジ</t>
    </rPh>
    <phoneticPr fontId="1"/>
  </si>
  <si>
    <t>人間関係</t>
    <rPh sb="0" eb="4">
      <t>ニンゲンカンケイ</t>
    </rPh>
    <phoneticPr fontId="1"/>
  </si>
  <si>
    <t>医療事故</t>
    <rPh sb="0" eb="4">
      <t>イリョウジコ</t>
    </rPh>
    <phoneticPr fontId="1"/>
  </si>
  <si>
    <t>うち県外</t>
    <rPh sb="2" eb="4">
      <t>ケンガイ</t>
    </rPh>
    <phoneticPr fontId="1"/>
  </si>
  <si>
    <t>施設基本情報</t>
    <rPh sb="0" eb="6">
      <t>シセツキホンジョウホウ</t>
    </rPh>
    <phoneticPr fontId="1"/>
  </si>
  <si>
    <t>役職</t>
    <rPh sb="0" eb="2">
      <t>ヤクショク</t>
    </rPh>
    <phoneticPr fontId="1"/>
  </si>
  <si>
    <t>e-mail</t>
    <phoneticPr fontId="1"/>
  </si>
  <si>
    <t>TEL</t>
    <phoneticPr fontId="1"/>
  </si>
  <si>
    <t>健康上の理由（身体的）</t>
    <rPh sb="0" eb="3">
      <t>ケンコウジョウ</t>
    </rPh>
    <rPh sb="4" eb="6">
      <t>リユウ</t>
    </rPh>
    <rPh sb="7" eb="10">
      <t>シンタイテキ</t>
    </rPh>
    <phoneticPr fontId="1"/>
  </si>
  <si>
    <t>健康上の理由（精神的）</t>
    <rPh sb="0" eb="3">
      <t>ケンコウジョウ</t>
    </rPh>
    <rPh sb="4" eb="6">
      <t>リユウ</t>
    </rPh>
    <rPh sb="7" eb="10">
      <t>セイシンテキ</t>
    </rPh>
    <phoneticPr fontId="1"/>
  </si>
  <si>
    <t>親族の健康・介護</t>
    <rPh sb="0" eb="2">
      <t>シンゾク</t>
    </rPh>
    <rPh sb="3" eb="5">
      <t>ケンコウ</t>
    </rPh>
    <rPh sb="6" eb="8">
      <t>カイゴ</t>
    </rPh>
    <phoneticPr fontId="1"/>
  </si>
  <si>
    <t>転居</t>
    <rPh sb="0" eb="2">
      <t>テンキョ</t>
    </rPh>
    <phoneticPr fontId="1"/>
  </si>
  <si>
    <t>他の職場（看護職）への興味</t>
    <rPh sb="0" eb="1">
      <t>タ</t>
    </rPh>
    <rPh sb="2" eb="4">
      <t>ショクバ</t>
    </rPh>
    <rPh sb="5" eb="8">
      <t>カンゴショク</t>
    </rPh>
    <rPh sb="11" eb="13">
      <t>キョウミ</t>
    </rPh>
    <phoneticPr fontId="1"/>
  </si>
  <si>
    <t>他職種への興味</t>
    <rPh sb="0" eb="3">
      <t>タショクシュ</t>
    </rPh>
    <rPh sb="5" eb="7">
      <t>キョウミ</t>
    </rPh>
    <phoneticPr fontId="1"/>
  </si>
  <si>
    <t>キャリアアップ目的（進学・資格取得等）</t>
    <rPh sb="7" eb="9">
      <t>モクテキ</t>
    </rPh>
    <rPh sb="10" eb="12">
      <t>シンガク</t>
    </rPh>
    <rPh sb="13" eb="17">
      <t>シカクシュトク</t>
    </rPh>
    <rPh sb="17" eb="18">
      <t>ナド</t>
    </rPh>
    <phoneticPr fontId="1"/>
  </si>
  <si>
    <t>休暇についての不満</t>
    <rPh sb="0" eb="2">
      <t>キュウカ</t>
    </rPh>
    <rPh sb="7" eb="9">
      <t>フマン</t>
    </rPh>
    <phoneticPr fontId="1"/>
  </si>
  <si>
    <t>給与についての不満</t>
    <rPh sb="0" eb="2">
      <t>キュウヨ</t>
    </rPh>
    <rPh sb="7" eb="9">
      <t>フマン</t>
    </rPh>
    <phoneticPr fontId="1"/>
  </si>
  <si>
    <t>超過勤務、夜勤の負担</t>
    <rPh sb="0" eb="4">
      <t>チョウカキンム</t>
    </rPh>
    <rPh sb="5" eb="7">
      <t>ヤキン</t>
    </rPh>
    <rPh sb="8" eb="10">
      <t>フタン</t>
    </rPh>
    <phoneticPr fontId="1"/>
  </si>
  <si>
    <t>人間関係の悩み</t>
    <rPh sb="0" eb="4">
      <t>ニンゲンカンケイ</t>
    </rPh>
    <rPh sb="5" eb="6">
      <t>ナヤ</t>
    </rPh>
    <phoneticPr fontId="1"/>
  </si>
  <si>
    <t>身体的</t>
    <rPh sb="0" eb="3">
      <t>シンタイテキ</t>
    </rPh>
    <phoneticPr fontId="1"/>
  </si>
  <si>
    <t>精神的</t>
    <rPh sb="0" eb="3">
      <t>セイシンテキ</t>
    </rPh>
    <phoneticPr fontId="1"/>
  </si>
  <si>
    <t>親族の健康</t>
    <rPh sb="0" eb="2">
      <t>シンゾク</t>
    </rPh>
    <rPh sb="3" eb="5">
      <t>ケンコウ</t>
    </rPh>
    <phoneticPr fontId="1"/>
  </si>
  <si>
    <t>他の職場</t>
    <rPh sb="0" eb="1">
      <t>タ</t>
    </rPh>
    <rPh sb="2" eb="4">
      <t>ショクバ</t>
    </rPh>
    <phoneticPr fontId="1"/>
  </si>
  <si>
    <t>給与</t>
    <rPh sb="0" eb="2">
      <t>キュウヨ</t>
    </rPh>
    <phoneticPr fontId="1"/>
  </si>
  <si>
    <t>超過勤務</t>
    <rPh sb="0" eb="4">
      <t>チョウカキンム</t>
    </rPh>
    <phoneticPr fontId="1"/>
  </si>
  <si>
    <t>理由</t>
    <rPh sb="0" eb="2">
      <t>リユウ</t>
    </rPh>
    <phoneticPr fontId="1"/>
  </si>
  <si>
    <t>記入者氏名　※</t>
    <rPh sb="0" eb="3">
      <t>キニュウシャ</t>
    </rPh>
    <rPh sb="3" eb="5">
      <t>シメイ</t>
    </rPh>
    <phoneticPr fontId="1"/>
  </si>
  <si>
    <t>合計</t>
    <rPh sb="0" eb="2">
      <t>ゴウケイ</t>
    </rPh>
    <phoneticPr fontId="1"/>
  </si>
  <si>
    <t>理由</t>
    <rPh sb="0" eb="2">
      <t>リユウ</t>
    </rPh>
    <phoneticPr fontId="1"/>
  </si>
  <si>
    <t>内容</t>
    <rPh sb="0" eb="2">
      <t>ナイヨウ</t>
    </rPh>
    <phoneticPr fontId="1"/>
  </si>
  <si>
    <t>記入年月日</t>
    <rPh sb="0" eb="2">
      <t>キニュウ</t>
    </rPh>
    <rPh sb="2" eb="5">
      <t>ネンガッピ</t>
    </rPh>
    <phoneticPr fontId="1"/>
  </si>
  <si>
    <t>記入者氏名</t>
    <rPh sb="0" eb="2">
      <t>キニュウ</t>
    </rPh>
    <rPh sb="2" eb="3">
      <t>シャ</t>
    </rPh>
    <rPh sb="3" eb="5">
      <t>シメイ</t>
    </rPh>
    <phoneticPr fontId="1"/>
  </si>
  <si>
    <t>083－933-2928</t>
    <phoneticPr fontId="1"/>
  </si>
  <si>
    <t>理学療法士</t>
    <rPh sb="0" eb="5">
      <t>リガクリョウホウシ</t>
    </rPh>
    <phoneticPr fontId="1"/>
  </si>
  <si>
    <t>作業療法士</t>
    <rPh sb="0" eb="5">
      <t>サギョウリョウホウシ</t>
    </rPh>
    <phoneticPr fontId="1"/>
  </si>
  <si>
    <t>言語聴覚士</t>
    <rPh sb="0" eb="5">
      <t>ゲンゴチョウカクシ</t>
    </rPh>
    <phoneticPr fontId="1"/>
  </si>
  <si>
    <t>事務</t>
    <rPh sb="0" eb="2">
      <t>ジム</t>
    </rPh>
    <phoneticPr fontId="1"/>
  </si>
  <si>
    <t>その他</t>
    <rPh sb="2" eb="3">
      <t>タ</t>
    </rPh>
    <phoneticPr fontId="1"/>
  </si>
  <si>
    <t>計</t>
    <rPh sb="0" eb="1">
      <t>ケイ</t>
    </rPh>
    <phoneticPr fontId="1"/>
  </si>
  <si>
    <t>看護職員以外</t>
    <rPh sb="0" eb="6">
      <t>カンゴショクインイガイ</t>
    </rPh>
    <phoneticPr fontId="1"/>
  </si>
  <si>
    <t>実人員</t>
    <rPh sb="0" eb="3">
      <t>ジツジンイン</t>
    </rPh>
    <phoneticPr fontId="1"/>
  </si>
  <si>
    <t>理学療法士</t>
    <rPh sb="0" eb="5">
      <t>リガクリョウホウシ</t>
    </rPh>
    <phoneticPr fontId="1"/>
  </si>
  <si>
    <t>作業療法士</t>
    <rPh sb="0" eb="5">
      <t>サギョウリョウホウシ</t>
    </rPh>
    <phoneticPr fontId="1"/>
  </si>
  <si>
    <t>言語聴覚士</t>
    <rPh sb="0" eb="5">
      <t>ゲンゴチョウカクシ</t>
    </rPh>
    <phoneticPr fontId="1"/>
  </si>
  <si>
    <t>事務</t>
    <rPh sb="0" eb="2">
      <t>ジム</t>
    </rPh>
    <phoneticPr fontId="1"/>
  </si>
  <si>
    <t>その他</t>
    <rPh sb="2" eb="3">
      <t>タ</t>
    </rPh>
    <phoneticPr fontId="1"/>
  </si>
  <si>
    <t>合計</t>
    <rPh sb="0" eb="2">
      <t>ゴウケイ</t>
    </rPh>
    <phoneticPr fontId="1"/>
  </si>
  <si>
    <r>
      <t>※３　「常勤換算値」＝「週あたりの勤務時間数」÷「事業所で定めた週あたりの常勤時間数」
　　　➤必要に応じて、</t>
    </r>
    <r>
      <rPr>
        <u/>
        <sz val="11"/>
        <color theme="1"/>
        <rFont val="ＭＳ Ｐゴシック"/>
        <family val="3"/>
        <charset val="128"/>
      </rPr>
      <t>別シート「常勤換算計算表」</t>
    </r>
    <r>
      <rPr>
        <sz val="11"/>
        <color theme="1"/>
        <rFont val="ＭＳ Ｐゴシック"/>
        <family val="3"/>
        <charset val="128"/>
      </rPr>
      <t>をご活用ください。</t>
    </r>
    <rPh sb="4" eb="9">
      <t>ジョウキンカンサンチ</t>
    </rPh>
    <rPh sb="12" eb="13">
      <t>シュウ</t>
    </rPh>
    <rPh sb="17" eb="22">
      <t>キンムジカンスウ</t>
    </rPh>
    <rPh sb="25" eb="28">
      <t>ジギョウショ</t>
    </rPh>
    <rPh sb="29" eb="30">
      <t>サダ</t>
    </rPh>
    <rPh sb="32" eb="33">
      <t>シュウ</t>
    </rPh>
    <rPh sb="37" eb="39">
      <t>ジョウキン</t>
    </rPh>
    <rPh sb="39" eb="41">
      <t>ジカン</t>
    </rPh>
    <rPh sb="41" eb="42">
      <t>スウ</t>
    </rPh>
    <rPh sb="48" eb="50">
      <t>ヒツヨウ</t>
    </rPh>
    <rPh sb="51" eb="52">
      <t>オウ</t>
    </rPh>
    <rPh sb="55" eb="56">
      <t>ベツ</t>
    </rPh>
    <rPh sb="60" eb="64">
      <t>ジョウキンカンサン</t>
    </rPh>
    <rPh sb="64" eb="67">
      <t>ケイサンヒョウ</t>
    </rPh>
    <rPh sb="70" eb="72">
      <t>カツヨウ</t>
    </rPh>
    <phoneticPr fontId="1"/>
  </si>
  <si>
    <t>大学</t>
    <rPh sb="0" eb="2">
      <t>ダイガク</t>
    </rPh>
    <phoneticPr fontId="1"/>
  </si>
  <si>
    <t>短期大学（３年課程）</t>
    <rPh sb="0" eb="4">
      <t>タンキダイガク</t>
    </rPh>
    <rPh sb="6" eb="7">
      <t>ネン</t>
    </rPh>
    <rPh sb="7" eb="9">
      <t>カテイ</t>
    </rPh>
    <phoneticPr fontId="1"/>
  </si>
  <si>
    <t>その他（５年一貫教育・高等学校専攻科 等）</t>
    <rPh sb="2" eb="3">
      <t>タ</t>
    </rPh>
    <rPh sb="5" eb="6">
      <t>ネン</t>
    </rPh>
    <rPh sb="6" eb="8">
      <t>イッカン</t>
    </rPh>
    <rPh sb="8" eb="10">
      <t>キョウイク</t>
    </rPh>
    <rPh sb="11" eb="15">
      <t>コウトウガッコウ</t>
    </rPh>
    <rPh sb="15" eb="18">
      <t>センコウカ</t>
    </rPh>
    <rPh sb="19" eb="20">
      <t>トウ</t>
    </rPh>
    <phoneticPr fontId="1"/>
  </si>
  <si>
    <t>（３） 特定行為研修修了者に期待する効果を教えてください。（※ 複数回答可）　</t>
    <phoneticPr fontId="1"/>
  </si>
  <si>
    <r>
      <t xml:space="preserve">　　   </t>
    </r>
    <r>
      <rPr>
        <b/>
        <sz val="11"/>
        <color rgb="FFFF0000"/>
        <rFont val="ＭＳ Ｐゴシック"/>
        <family val="3"/>
        <charset val="128"/>
      </rPr>
      <t>※特定行為研修修了者がいない場合でもご回答ください。</t>
    </r>
    <r>
      <rPr>
        <b/>
        <sz val="11"/>
        <color theme="1"/>
        <rFont val="ＭＳ Ｐゴシック"/>
        <family val="3"/>
        <charset val="128"/>
      </rPr>
      <t>　　　</t>
    </r>
    <rPh sb="6" eb="15">
      <t>トクテイコウイケンシュウシュウリョウシャ</t>
    </rPh>
    <rPh sb="19" eb="21">
      <t>バアイ</t>
    </rPh>
    <rPh sb="24" eb="26">
      <t>カイトウ</t>
    </rPh>
    <phoneticPr fontId="1"/>
  </si>
  <si>
    <t>専門看護師認定者数</t>
    <rPh sb="0" eb="2">
      <t>センモン</t>
    </rPh>
    <rPh sb="2" eb="5">
      <t>カンゴシ</t>
    </rPh>
    <rPh sb="5" eb="7">
      <t>ニンテイ</t>
    </rPh>
    <rPh sb="7" eb="8">
      <t>シャ</t>
    </rPh>
    <rPh sb="8" eb="9">
      <t>スウ</t>
    </rPh>
    <phoneticPr fontId="1"/>
  </si>
  <si>
    <t>（２）分野別の看護師数を教えてください。</t>
    <rPh sb="3" eb="6">
      <t>ブンヤベツ</t>
    </rPh>
    <rPh sb="7" eb="10">
      <t>カンゴシ</t>
    </rPh>
    <rPh sb="10" eb="11">
      <t>スウ</t>
    </rPh>
    <rPh sb="12" eb="13">
      <t>オシ</t>
    </rPh>
    <phoneticPr fontId="1"/>
  </si>
  <si>
    <t>がん看護</t>
    <rPh sb="2" eb="4">
      <t>カンゴ</t>
    </rPh>
    <phoneticPr fontId="1"/>
  </si>
  <si>
    <t>母性看護</t>
    <rPh sb="0" eb="2">
      <t>ボセイ</t>
    </rPh>
    <rPh sb="2" eb="4">
      <t>カンゴ</t>
    </rPh>
    <phoneticPr fontId="1"/>
  </si>
  <si>
    <t>在宅看護</t>
    <rPh sb="0" eb="2">
      <t>ザイタク</t>
    </rPh>
    <rPh sb="2" eb="4">
      <t>カンゴ</t>
    </rPh>
    <phoneticPr fontId="1"/>
  </si>
  <si>
    <t>精神看護</t>
    <rPh sb="0" eb="2">
      <t>セイシン</t>
    </rPh>
    <rPh sb="2" eb="4">
      <t>カンゴ</t>
    </rPh>
    <phoneticPr fontId="1"/>
  </si>
  <si>
    <t>慢性疾患看護</t>
    <rPh sb="0" eb="2">
      <t>マンセイ</t>
    </rPh>
    <rPh sb="2" eb="4">
      <t>シッカン</t>
    </rPh>
    <rPh sb="4" eb="6">
      <t>カンゴ</t>
    </rPh>
    <phoneticPr fontId="1"/>
  </si>
  <si>
    <t>遺伝看護</t>
    <rPh sb="0" eb="2">
      <t>イデン</t>
    </rPh>
    <rPh sb="2" eb="4">
      <t>カンゴ</t>
    </rPh>
    <phoneticPr fontId="1"/>
  </si>
  <si>
    <t>地域看護</t>
    <rPh sb="0" eb="2">
      <t>チイキ</t>
    </rPh>
    <rPh sb="2" eb="4">
      <t>カンゴ</t>
    </rPh>
    <phoneticPr fontId="1"/>
  </si>
  <si>
    <t>急性・重症患者看護</t>
    <rPh sb="0" eb="2">
      <t>キュウセイ</t>
    </rPh>
    <rPh sb="3" eb="5">
      <t>ジュウショウ</t>
    </rPh>
    <rPh sb="5" eb="7">
      <t>カンジャ</t>
    </rPh>
    <rPh sb="7" eb="9">
      <t>カンゴ</t>
    </rPh>
    <phoneticPr fontId="1"/>
  </si>
  <si>
    <t>災害看護</t>
    <rPh sb="0" eb="2">
      <t>サイガイ</t>
    </rPh>
    <rPh sb="2" eb="4">
      <t>カンゴ</t>
    </rPh>
    <phoneticPr fontId="1"/>
  </si>
  <si>
    <t>老人看護</t>
    <rPh sb="0" eb="2">
      <t>ロウジン</t>
    </rPh>
    <rPh sb="2" eb="4">
      <t>カンゴ</t>
    </rPh>
    <phoneticPr fontId="1"/>
  </si>
  <si>
    <t>感染症看護</t>
    <rPh sb="0" eb="3">
      <t>カンセンショウ</t>
    </rPh>
    <rPh sb="3" eb="5">
      <t>カンゴ</t>
    </rPh>
    <phoneticPr fontId="1"/>
  </si>
  <si>
    <t>放射線看護</t>
    <rPh sb="0" eb="3">
      <t>ホウシャセン</t>
    </rPh>
    <rPh sb="3" eb="5">
      <t>カンゴ</t>
    </rPh>
    <phoneticPr fontId="1"/>
  </si>
  <si>
    <t>小児看護</t>
    <rPh sb="0" eb="2">
      <t>ショウニ</t>
    </rPh>
    <rPh sb="2" eb="4">
      <t>カンゴ</t>
    </rPh>
    <phoneticPr fontId="1"/>
  </si>
  <si>
    <t>家族支援</t>
    <rPh sb="0" eb="2">
      <t>カゾク</t>
    </rPh>
    <rPh sb="2" eb="4">
      <t>シエン</t>
    </rPh>
    <phoneticPr fontId="1"/>
  </si>
  <si>
    <t>診療看護師認定者数</t>
    <rPh sb="0" eb="2">
      <t>シンリョウ</t>
    </rPh>
    <rPh sb="2" eb="5">
      <t>カンゴシ</t>
    </rPh>
    <rPh sb="5" eb="8">
      <t>ニンテイシャ</t>
    </rPh>
    <rPh sb="8" eb="9">
      <t>スウ</t>
    </rPh>
    <phoneticPr fontId="1"/>
  </si>
  <si>
    <t>ご協力ありがとうございました。　Excelファイルでご提出くださいますようお願いします。</t>
    <rPh sb="1" eb="3">
      <t>キョウリョク</t>
    </rPh>
    <rPh sb="27" eb="29">
      <t>テイシュツ</t>
    </rPh>
    <rPh sb="38" eb="39">
      <t>ネガ</t>
    </rPh>
    <phoneticPr fontId="1"/>
  </si>
  <si>
    <t>※ 事務職員が記入される場合も、管理者と共有をしていただきますようお願いします。</t>
    <rPh sb="2" eb="6">
      <t>ジムショクイン</t>
    </rPh>
    <rPh sb="7" eb="9">
      <t>キニュウ</t>
    </rPh>
    <rPh sb="12" eb="14">
      <t>バアイ</t>
    </rPh>
    <rPh sb="16" eb="19">
      <t>カンリシャ</t>
    </rPh>
    <rPh sb="20" eb="22">
      <t>キョウユウ</t>
    </rPh>
    <rPh sb="34" eb="35">
      <t>ネガ</t>
    </rPh>
    <phoneticPr fontId="1"/>
  </si>
  <si>
    <t>適性</t>
    <rPh sb="0" eb="2">
      <t>テキセイ</t>
    </rPh>
    <phoneticPr fontId="1"/>
  </si>
  <si>
    <t>能力</t>
    <rPh sb="0" eb="2">
      <t>ノウリョク</t>
    </rPh>
    <phoneticPr fontId="1"/>
  </si>
  <si>
    <t>新卒採用者</t>
    <rPh sb="0" eb="2">
      <t>シンソツ</t>
    </rPh>
    <rPh sb="2" eb="5">
      <t>サイヨウシャ</t>
    </rPh>
    <phoneticPr fontId="1"/>
  </si>
  <si>
    <t>うち
退職</t>
    <rPh sb="3" eb="5">
      <t>タイショク</t>
    </rPh>
    <phoneticPr fontId="1"/>
  </si>
  <si>
    <t>短大</t>
    <rPh sb="0" eb="2">
      <t>タンダイ</t>
    </rPh>
    <phoneticPr fontId="1"/>
  </si>
  <si>
    <t>2年課程</t>
    <rPh sb="1" eb="4">
      <t>ネンカテイ</t>
    </rPh>
    <phoneticPr fontId="1"/>
  </si>
  <si>
    <t>大学院</t>
    <rPh sb="0" eb="2">
      <t>ダイガク</t>
    </rPh>
    <rPh sb="2" eb="3">
      <t>イン</t>
    </rPh>
    <phoneticPr fontId="1"/>
  </si>
  <si>
    <t>保健師学校</t>
    <rPh sb="0" eb="5">
      <t>ホケンシガッコウ</t>
    </rPh>
    <phoneticPr fontId="1"/>
  </si>
  <si>
    <t>短期大学（保健師専攻科）</t>
    <rPh sb="0" eb="4">
      <t>タンキダイガク</t>
    </rPh>
    <rPh sb="5" eb="8">
      <t>ホケンシ</t>
    </rPh>
    <rPh sb="8" eb="11">
      <t>センコウカ</t>
    </rPh>
    <phoneticPr fontId="1"/>
  </si>
  <si>
    <t>看護師学校養成所（３年課程、統合カリキュラム）</t>
    <rPh sb="0" eb="5">
      <t>カンゴシガッコウ</t>
    </rPh>
    <rPh sb="5" eb="8">
      <t>ヨウセイジョ</t>
    </rPh>
    <rPh sb="10" eb="11">
      <t>ネン</t>
    </rPh>
    <rPh sb="11" eb="13">
      <t>カテイ</t>
    </rPh>
    <rPh sb="14" eb="16">
      <t>トウゴウ</t>
    </rPh>
    <phoneticPr fontId="1"/>
  </si>
  <si>
    <t>保健師学校</t>
    <rPh sb="0" eb="5">
      <t>ホケンシガッコウ</t>
    </rPh>
    <phoneticPr fontId="1"/>
  </si>
  <si>
    <t>3年・統カリ</t>
    <rPh sb="1" eb="2">
      <t>ネン</t>
    </rPh>
    <rPh sb="3" eb="4">
      <t>トウ</t>
    </rPh>
    <phoneticPr fontId="1"/>
  </si>
  <si>
    <t>３　専門看護師</t>
    <rPh sb="2" eb="7">
      <t>センモンカンゴシ</t>
    </rPh>
    <phoneticPr fontId="1"/>
  </si>
  <si>
    <t>４　NP</t>
    <phoneticPr fontId="1"/>
  </si>
  <si>
    <t>分野</t>
    <rPh sb="0" eb="2">
      <t>ブンヤ</t>
    </rPh>
    <phoneticPr fontId="1"/>
  </si>
  <si>
    <t>がん</t>
    <phoneticPr fontId="1"/>
  </si>
  <si>
    <t>地域</t>
    <rPh sb="0" eb="2">
      <t>チイキ</t>
    </rPh>
    <phoneticPr fontId="1"/>
  </si>
  <si>
    <t>老人</t>
    <rPh sb="0" eb="2">
      <t>ロウジン</t>
    </rPh>
    <phoneticPr fontId="1"/>
  </si>
  <si>
    <t>母性</t>
    <rPh sb="0" eb="2">
      <t>ボセイ</t>
    </rPh>
    <phoneticPr fontId="1"/>
  </si>
  <si>
    <t>慢性
疾患</t>
    <rPh sb="0" eb="2">
      <t>マンセイ</t>
    </rPh>
    <rPh sb="3" eb="5">
      <t>シッカン</t>
    </rPh>
    <phoneticPr fontId="1"/>
  </si>
  <si>
    <t>急性
重症</t>
    <rPh sb="0" eb="2">
      <t>キュウセイ</t>
    </rPh>
    <rPh sb="3" eb="5">
      <t>ジュウショウ</t>
    </rPh>
    <phoneticPr fontId="1"/>
  </si>
  <si>
    <t>感染症</t>
    <rPh sb="0" eb="3">
      <t>カンセンショウ</t>
    </rPh>
    <phoneticPr fontId="1"/>
  </si>
  <si>
    <t>家族</t>
    <rPh sb="0" eb="2">
      <t>カゾク</t>
    </rPh>
    <phoneticPr fontId="1"/>
  </si>
  <si>
    <t>遺伝</t>
    <rPh sb="0" eb="2">
      <t>イデン</t>
    </rPh>
    <phoneticPr fontId="1"/>
  </si>
  <si>
    <t>災害</t>
    <rPh sb="0" eb="2">
      <t>サイガイ</t>
    </rPh>
    <phoneticPr fontId="1"/>
  </si>
  <si>
    <t>理由</t>
    <rPh sb="0" eb="2">
      <t>リユウ</t>
    </rPh>
    <phoneticPr fontId="1"/>
  </si>
  <si>
    <t>令和７年度 看護人材実態調査（採用退職状況等調査）</t>
    <rPh sb="0" eb="2">
      <t>レイワ</t>
    </rPh>
    <rPh sb="3" eb="5">
      <t>ネンド</t>
    </rPh>
    <rPh sb="6" eb="8">
      <t>カンゴ</t>
    </rPh>
    <rPh sb="8" eb="10">
      <t>ジンザイ</t>
    </rPh>
    <rPh sb="10" eb="12">
      <t>ジッタイ</t>
    </rPh>
    <rPh sb="12" eb="14">
      <t>チョウサ</t>
    </rPh>
    <rPh sb="15" eb="22">
      <t>サイヨウタイショクジョウキョウナド</t>
    </rPh>
    <rPh sb="22" eb="24">
      <t>チョウサ</t>
    </rPh>
    <phoneticPr fontId="1"/>
  </si>
  <si>
    <t>（１）令和７年４月１日現在、在職している看護職員（休業休職者含む）の人数を記入してください。</t>
    <rPh sb="3" eb="5">
      <t>レイワ</t>
    </rPh>
    <rPh sb="6" eb="7">
      <t>ネン</t>
    </rPh>
    <rPh sb="8" eb="9">
      <t>ガツ</t>
    </rPh>
    <rPh sb="10" eb="11">
      <t>ニチ</t>
    </rPh>
    <rPh sb="11" eb="13">
      <t>ゲンザイ</t>
    </rPh>
    <rPh sb="14" eb="16">
      <t>ザイショク</t>
    </rPh>
    <rPh sb="20" eb="24">
      <t>カンゴショクイン</t>
    </rPh>
    <rPh sb="25" eb="27">
      <t>キュウギョウ</t>
    </rPh>
    <rPh sb="27" eb="30">
      <t>キュウショクシャ</t>
    </rPh>
    <rPh sb="30" eb="31">
      <t>フク</t>
    </rPh>
    <rPh sb="34" eb="36">
      <t>ニンズウ</t>
    </rPh>
    <rPh sb="37" eb="39">
      <t>キニュウ</t>
    </rPh>
    <phoneticPr fontId="1"/>
  </si>
  <si>
    <t>（２）令和７年４月１日現在、在職している看護職員以外（休業休職者含む）の実人数を記入してください。</t>
    <rPh sb="3" eb="5">
      <t>レイワ</t>
    </rPh>
    <rPh sb="6" eb="7">
      <t>ネン</t>
    </rPh>
    <rPh sb="8" eb="9">
      <t>ガツ</t>
    </rPh>
    <rPh sb="10" eb="11">
      <t>ニチ</t>
    </rPh>
    <rPh sb="11" eb="13">
      <t>ゲンザイ</t>
    </rPh>
    <rPh sb="14" eb="16">
      <t>ザイショク</t>
    </rPh>
    <rPh sb="20" eb="24">
      <t>カンゴショクイン</t>
    </rPh>
    <rPh sb="24" eb="26">
      <t>イガイ</t>
    </rPh>
    <rPh sb="27" eb="29">
      <t>キュウギョウ</t>
    </rPh>
    <rPh sb="29" eb="32">
      <t>キュウショクシャ</t>
    </rPh>
    <rPh sb="32" eb="33">
      <t>フク</t>
    </rPh>
    <rPh sb="36" eb="37">
      <t>ジツ</t>
    </rPh>
    <rPh sb="37" eb="39">
      <t>ニンズウ</t>
    </rPh>
    <rPh sb="40" eb="42">
      <t>キニュウ</t>
    </rPh>
    <phoneticPr fontId="1"/>
  </si>
  <si>
    <t>看護師</t>
    <rPh sb="0" eb="2">
      <t>カンゴ</t>
    </rPh>
    <rPh sb="2" eb="3">
      <t>シ</t>
    </rPh>
    <phoneticPr fontId="1"/>
  </si>
  <si>
    <r>
      <t xml:space="preserve">令和6年4月1日現在の
看護職員数
</t>
    </r>
    <r>
      <rPr>
        <u/>
        <sz val="11"/>
        <color theme="1"/>
        <rFont val="ＭＳ Ｐゴシック"/>
        <family val="3"/>
        <charset val="128"/>
      </rPr>
      <t>（</t>
    </r>
    <r>
      <rPr>
        <b/>
        <u/>
        <sz val="11"/>
        <color theme="1"/>
        <rFont val="ＭＳ Ｐゴシック"/>
        <family val="3"/>
        <charset val="128"/>
      </rPr>
      <t>R6.4.1付採用者除く</t>
    </r>
    <r>
      <rPr>
        <u/>
        <sz val="11"/>
        <color theme="1"/>
        <rFont val="ＭＳ Ｐゴシック"/>
        <family val="3"/>
        <charset val="128"/>
      </rPr>
      <t>）</t>
    </r>
    <rPh sb="0" eb="2">
      <t>レイワ</t>
    </rPh>
    <rPh sb="3" eb="4">
      <t>ネン</t>
    </rPh>
    <rPh sb="5" eb="6">
      <t>ガツ</t>
    </rPh>
    <rPh sb="7" eb="8">
      <t>ニチ</t>
    </rPh>
    <rPh sb="8" eb="10">
      <t>ゲンザイ</t>
    </rPh>
    <rPh sb="12" eb="17">
      <t>カンゴショクインスウ</t>
    </rPh>
    <rPh sb="25" eb="26">
      <t>ヅ</t>
    </rPh>
    <rPh sb="26" eb="29">
      <t>サイヨウシャ</t>
    </rPh>
    <rPh sb="29" eb="30">
      <t>ノゾ</t>
    </rPh>
    <phoneticPr fontId="1"/>
  </si>
  <si>
    <r>
      <t>問４　看護職員の退職状況</t>
    </r>
    <r>
      <rPr>
        <b/>
        <u/>
        <sz val="11"/>
        <color theme="1"/>
        <rFont val="ＭＳ Ｐゴシック"/>
        <family val="3"/>
        <charset val="128"/>
      </rPr>
      <t>（令和６年４月１日～令和７年３月３１日）</t>
    </r>
    <rPh sb="0" eb="1">
      <t>トイ</t>
    </rPh>
    <rPh sb="3" eb="7">
      <t>カンゴショクイン</t>
    </rPh>
    <rPh sb="8" eb="10">
      <t>タイショク</t>
    </rPh>
    <rPh sb="10" eb="12">
      <t>ジョウキョウ</t>
    </rPh>
    <rPh sb="13" eb="15">
      <t>レイワ</t>
    </rPh>
    <rPh sb="16" eb="17">
      <t>ネン</t>
    </rPh>
    <rPh sb="18" eb="19">
      <t>ガツ</t>
    </rPh>
    <rPh sb="20" eb="21">
      <t>ニチ</t>
    </rPh>
    <rPh sb="22" eb="24">
      <t>レイワ</t>
    </rPh>
    <rPh sb="25" eb="26">
      <t>ネン</t>
    </rPh>
    <rPh sb="27" eb="28">
      <t>ガツ</t>
    </rPh>
    <rPh sb="30" eb="31">
      <t>ニチ</t>
    </rPh>
    <phoneticPr fontId="1"/>
  </si>
  <si>
    <r>
      <t xml:space="preserve">（５） </t>
    </r>
    <r>
      <rPr>
        <b/>
        <sz val="11"/>
        <color rgb="FFFF0000"/>
        <rFont val="ＭＳ Ｐゴシック"/>
        <family val="3"/>
        <charset val="128"/>
      </rPr>
      <t>（４）で「職員を計画的に派遣している」を選択した場合</t>
    </r>
    <r>
      <rPr>
        <b/>
        <sz val="11"/>
        <color theme="1"/>
        <rFont val="ＭＳ Ｐゴシック"/>
        <family val="3"/>
        <charset val="128"/>
      </rPr>
      <t>、受講計画を教えてください。</t>
    </r>
    <rPh sb="9" eb="11">
      <t>ショクイン</t>
    </rPh>
    <rPh sb="12" eb="15">
      <t>ケイカクテキ</t>
    </rPh>
    <rPh sb="16" eb="18">
      <t>ハケン</t>
    </rPh>
    <rPh sb="24" eb="26">
      <t>センタク</t>
    </rPh>
    <rPh sb="28" eb="30">
      <t>バアイ</t>
    </rPh>
    <rPh sb="31" eb="35">
      <t>ジュコウケイカク</t>
    </rPh>
    <rPh sb="36" eb="37">
      <t>オシ</t>
    </rPh>
    <phoneticPr fontId="1"/>
  </si>
  <si>
    <t>例）毎年１人ずつ研修に派遣する。　令和８年度までに特定行為研修を受講させる。等</t>
    <rPh sb="0" eb="1">
      <t>レイ</t>
    </rPh>
    <rPh sb="2" eb="3">
      <t>マイ</t>
    </rPh>
    <rPh sb="3" eb="4">
      <t>ネン</t>
    </rPh>
    <rPh sb="5" eb="6">
      <t>ニン</t>
    </rPh>
    <rPh sb="8" eb="10">
      <t>ケンシュウ</t>
    </rPh>
    <rPh sb="11" eb="13">
      <t>ハケン</t>
    </rPh>
    <rPh sb="17" eb="19">
      <t>レイワ</t>
    </rPh>
    <rPh sb="20" eb="22">
      <t>ネンド</t>
    </rPh>
    <rPh sb="25" eb="31">
      <t>トクテイコウイケンシュウ</t>
    </rPh>
    <rPh sb="32" eb="34">
      <t>ジュコウ</t>
    </rPh>
    <rPh sb="38" eb="39">
      <t>トウ</t>
    </rPh>
    <phoneticPr fontId="1"/>
  </si>
  <si>
    <r>
      <t>（６）</t>
    </r>
    <r>
      <rPr>
        <b/>
        <sz val="11"/>
        <color rgb="FFFF0000"/>
        <rFont val="ＭＳ Ｐゴシック"/>
        <family val="3"/>
        <charset val="128"/>
      </rPr>
      <t xml:space="preserve"> （４）で「派遣していない」を選択した場合、</t>
    </r>
    <r>
      <rPr>
        <b/>
        <sz val="11"/>
        <color theme="1"/>
        <rFont val="ＭＳ Ｐゴシック"/>
        <family val="3"/>
        <charset val="128"/>
      </rPr>
      <t>その理由について教えてください。（※ 複数回答可）</t>
    </r>
    <rPh sb="9" eb="11">
      <t>ハケン</t>
    </rPh>
    <rPh sb="18" eb="20">
      <t>センタク</t>
    </rPh>
    <rPh sb="22" eb="24">
      <t>バアイ</t>
    </rPh>
    <rPh sb="27" eb="29">
      <t>リユウ</t>
    </rPh>
    <rPh sb="33" eb="34">
      <t>オシ</t>
    </rPh>
    <rPh sb="44" eb="46">
      <t>フクスウ</t>
    </rPh>
    <rPh sb="46" eb="49">
      <t>カイトウカ</t>
    </rPh>
    <phoneticPr fontId="1"/>
  </si>
  <si>
    <r>
      <t>２　特定行為研修修了看護師について</t>
    </r>
    <r>
      <rPr>
        <b/>
        <u/>
        <sz val="11"/>
        <color theme="1"/>
        <rFont val="ＭＳ Ｐゴシック"/>
        <family val="3"/>
        <charset val="128"/>
      </rPr>
      <t>（令和7年４月１日現在）</t>
    </r>
    <rPh sb="2" eb="4">
      <t>トクテイ</t>
    </rPh>
    <rPh sb="4" eb="6">
      <t>コウイ</t>
    </rPh>
    <rPh sb="6" eb="8">
      <t>ケンシュウ</t>
    </rPh>
    <rPh sb="8" eb="10">
      <t>シュウリョウ</t>
    </rPh>
    <rPh sb="10" eb="13">
      <t>カンゴシ</t>
    </rPh>
    <phoneticPr fontId="1"/>
  </si>
  <si>
    <r>
      <t xml:space="preserve">　　   </t>
    </r>
    <r>
      <rPr>
        <b/>
        <sz val="11"/>
        <color rgb="FFFF0000"/>
        <rFont val="ＭＳ Ｐゴシック"/>
        <family val="3"/>
        <charset val="128"/>
      </rPr>
      <t>※認定看護師がいない場合でもご回答ください。</t>
    </r>
    <r>
      <rPr>
        <b/>
        <sz val="11"/>
        <color theme="1"/>
        <rFont val="ＭＳ Ｐゴシック"/>
        <family val="3"/>
        <charset val="128"/>
      </rPr>
      <t>　　　</t>
    </r>
    <rPh sb="6" eb="8">
      <t>ニンテイ</t>
    </rPh>
    <rPh sb="8" eb="11">
      <t>カンゴシ</t>
    </rPh>
    <rPh sb="15" eb="17">
      <t>バアイ</t>
    </rPh>
    <rPh sb="20" eb="22">
      <t>カイトウ</t>
    </rPh>
    <phoneticPr fontId="1"/>
  </si>
  <si>
    <t>例）毎年１人ずつ研修に派遣する。　令和１０年度までに2人派遣する。　等</t>
    <rPh sb="0" eb="1">
      <t>レイ</t>
    </rPh>
    <rPh sb="2" eb="3">
      <t>マイ</t>
    </rPh>
    <rPh sb="3" eb="4">
      <t>ネン</t>
    </rPh>
    <rPh sb="5" eb="6">
      <t>ニン</t>
    </rPh>
    <rPh sb="8" eb="10">
      <t>ケンシュウ</t>
    </rPh>
    <rPh sb="11" eb="13">
      <t>ハケン</t>
    </rPh>
    <rPh sb="17" eb="19">
      <t>レイワ</t>
    </rPh>
    <rPh sb="21" eb="23">
      <t>ネンド</t>
    </rPh>
    <rPh sb="27" eb="30">
      <t>ニンハケン</t>
    </rPh>
    <rPh sb="34" eb="35">
      <t>トウ</t>
    </rPh>
    <phoneticPr fontId="1"/>
  </si>
  <si>
    <r>
      <t>３　専門看護師について</t>
    </r>
    <r>
      <rPr>
        <b/>
        <u/>
        <sz val="11"/>
        <color theme="1"/>
        <rFont val="ＭＳ Ｐゴシック"/>
        <family val="3"/>
        <charset val="128"/>
      </rPr>
      <t>（令和７年４月１日現在）</t>
    </r>
    <rPh sb="2" eb="4">
      <t>センモン</t>
    </rPh>
    <rPh sb="4" eb="7">
      <t>カンゴシ</t>
    </rPh>
    <rPh sb="12" eb="14">
      <t>レイワ</t>
    </rPh>
    <rPh sb="15" eb="16">
      <t>ネン</t>
    </rPh>
    <rPh sb="17" eb="18">
      <t>ガツ</t>
    </rPh>
    <rPh sb="19" eb="20">
      <t>ニチ</t>
    </rPh>
    <rPh sb="20" eb="22">
      <t>ゲンザイ</t>
    </rPh>
    <phoneticPr fontId="1"/>
  </si>
  <si>
    <r>
      <t>４　診療看護師（NP）について</t>
    </r>
    <r>
      <rPr>
        <b/>
        <u/>
        <sz val="11"/>
        <color theme="1"/>
        <rFont val="ＭＳ Ｐゴシック"/>
        <family val="3"/>
        <charset val="128"/>
      </rPr>
      <t>（令和７年４月１日現在）</t>
    </r>
    <rPh sb="2" eb="4">
      <t>シンリョウ</t>
    </rPh>
    <rPh sb="4" eb="7">
      <t>カンゴシ</t>
    </rPh>
    <rPh sb="16" eb="18">
      <t>レイワ</t>
    </rPh>
    <rPh sb="19" eb="20">
      <t>ネン</t>
    </rPh>
    <rPh sb="21" eb="22">
      <t>ガツ</t>
    </rPh>
    <rPh sb="23" eb="24">
      <t>ニチ</t>
    </rPh>
    <rPh sb="24" eb="26">
      <t>ゲンザイ</t>
    </rPh>
    <phoneticPr fontId="1"/>
  </si>
  <si>
    <r>
      <t>５　認定看護管理者について</t>
    </r>
    <r>
      <rPr>
        <b/>
        <u/>
        <sz val="11"/>
        <color theme="1"/>
        <rFont val="ＭＳ Ｐゴシック"/>
        <family val="3"/>
        <charset val="128"/>
      </rPr>
      <t>（令和７年４月１日現在）</t>
    </r>
    <rPh sb="2" eb="9">
      <t>ニンテイカンゴカンリシャ</t>
    </rPh>
    <rPh sb="14" eb="16">
      <t>レイワ</t>
    </rPh>
    <rPh sb="17" eb="18">
      <t>ネン</t>
    </rPh>
    <rPh sb="19" eb="20">
      <t>ガツ</t>
    </rPh>
    <rPh sb="21" eb="22">
      <t>ニチ</t>
    </rPh>
    <rPh sb="22" eb="24">
      <t>ゲンザイ</t>
    </rPh>
    <phoneticPr fontId="1"/>
  </si>
  <si>
    <t>認定看護管理者数</t>
    <rPh sb="0" eb="8">
      <t>ニンテイカンゴカンリシャスウ</t>
    </rPh>
    <phoneticPr fontId="1"/>
  </si>
  <si>
    <t>人</t>
    <rPh sb="0" eb="1">
      <t>ニン</t>
    </rPh>
    <phoneticPr fontId="1"/>
  </si>
  <si>
    <t>とっていない</t>
  </si>
  <si>
    <t>実績あり</t>
    <rPh sb="0" eb="2">
      <t>ジッセキ</t>
    </rPh>
    <phoneticPr fontId="1"/>
  </si>
  <si>
    <t>実績なし</t>
    <rPh sb="0" eb="2">
      <t>ジッセキ</t>
    </rPh>
    <phoneticPr fontId="1"/>
  </si>
  <si>
    <t>その他（　　　　　　　　　　　　　　　　　　　　　　　　　　　　　</t>
    <rPh sb="2" eb="3">
      <t>タ</t>
    </rPh>
    <phoneticPr fontId="1"/>
  </si>
  <si>
    <t>　　）</t>
    <phoneticPr fontId="1"/>
  </si>
  <si>
    <t>１　認定看護師について（令和７年４月１日現在）</t>
  </si>
  <si>
    <t>（１）認定看護師認定者数を教えてください。</t>
  </si>
  <si>
    <t>認定看護師認定者数</t>
  </si>
  <si>
    <t>人</t>
  </si>
  <si>
    <t>※１　「1」人以上を入力された場合は、（２）以下もご回答ください。</t>
  </si>
  <si>
    <t>※２　「0」人を入力された場合は、（４）へお進みください。</t>
  </si>
  <si>
    <t>（２）分野別の認定者数を教えてください。</t>
  </si>
  <si>
    <t>A　　課　　程</t>
  </si>
  <si>
    <t>B　　課　　程</t>
  </si>
  <si>
    <t>救急看護</t>
  </si>
  <si>
    <t>透析看護</t>
  </si>
  <si>
    <t>クリティカルケア</t>
  </si>
  <si>
    <t>腎不全看護</t>
  </si>
  <si>
    <t>集中ケア</t>
  </si>
  <si>
    <t>手術看護</t>
  </si>
  <si>
    <t>皮膚・排泄ケア</t>
  </si>
  <si>
    <t>乳がん看護</t>
  </si>
  <si>
    <t>緩和ケア</t>
  </si>
  <si>
    <t>摂食・嚥下障害看護</t>
  </si>
  <si>
    <t>がん薬物療法看護</t>
  </si>
  <si>
    <t>摂食嚥下障害看護</t>
  </si>
  <si>
    <t>がん性疼痛看護</t>
  </si>
  <si>
    <t>小児救急看護</t>
  </si>
  <si>
    <t>在宅ケア</t>
  </si>
  <si>
    <t>小児プライマリケア</t>
  </si>
  <si>
    <t>がん化学療法看護</t>
  </si>
  <si>
    <t>認知症看護</t>
  </si>
  <si>
    <t>感染管理</t>
  </si>
  <si>
    <t>訪問看護</t>
  </si>
  <si>
    <t>脳卒中リハビリ看護</t>
  </si>
  <si>
    <t>糖尿病看護</t>
  </si>
  <si>
    <t>脳卒中看護</t>
  </si>
  <si>
    <t>がん放射線療法看護</t>
  </si>
  <si>
    <t>生殖看護</t>
  </si>
  <si>
    <t>慢性呼吸器疾患看護</t>
  </si>
  <si>
    <t>新生児集中ケア</t>
  </si>
  <si>
    <t>呼吸器疾患看護</t>
  </si>
  <si>
    <t>不妊症看護</t>
  </si>
  <si>
    <t>慢性心不全看護</t>
  </si>
  <si>
    <t>心不全看護</t>
  </si>
  <si>
    <t>精神科看護</t>
  </si>
  <si>
    <t>（１）特定行為研修修了者数を教えてください。</t>
  </si>
  <si>
    <t>特定行為研修修了者数</t>
  </si>
  <si>
    <t>（２）区分別の修了者数および修了者数を教えてください。
　　また、これまでに特定行為を実施した実績がある区分に○をつけてください。</t>
  </si>
  <si>
    <t>区分</t>
  </si>
  <si>
    <t>人数</t>
  </si>
  <si>
    <t>実績</t>
  </si>
  <si>
    <t>B課程※２</t>
  </si>
  <si>
    <t>呼吸器（気道確保に係るもの）関連</t>
  </si>
  <si>
    <t>創部ドレーン管理関連</t>
  </si>
  <si>
    <t>呼吸器（人工呼吸療法に係るもの）関連</t>
  </si>
  <si>
    <t>動脈血液ガス分析関連</t>
  </si>
  <si>
    <t>呼吸器（長期呼吸療法に係るもの）関連</t>
  </si>
  <si>
    <t>透析管理関連</t>
  </si>
  <si>
    <t>循環器関連</t>
  </si>
  <si>
    <t>栄養および水分管理関連に係る薬剤投与関連</t>
  </si>
  <si>
    <t>心嚢ドレーン管理関連</t>
  </si>
  <si>
    <t>感染に係る薬剤投与関連</t>
  </si>
  <si>
    <t>胸腔ドレーン管理関連</t>
  </si>
  <si>
    <t>血糖コントロールに係る薬剤投与関連</t>
  </si>
  <si>
    <t>腹腔ドレーン管理関連</t>
  </si>
  <si>
    <t>術後疼痛管理関連</t>
  </si>
  <si>
    <t>ろう孔管理関連</t>
  </si>
  <si>
    <t>循環動態に係る薬剤投与関連</t>
  </si>
  <si>
    <t>栄養に係るカテーテル管理（中心静脈カテーテル管理）関連</t>
  </si>
  <si>
    <t>精神および精神症状に係る薬剤投与関連</t>
  </si>
  <si>
    <t>栄養に係るカテーテル管理（末梢留置型中心静脈注射用カテーテル管理）関連</t>
  </si>
  <si>
    <t>皮膚損傷に係る薬剤投与関連</t>
  </si>
  <si>
    <t>創傷管理関連</t>
  </si>
  <si>
    <t>※１ 領域別パッケージ研修を修了した場合は、パッケージに含まれる特定行為区分すべてに人数を計上してください。</t>
  </si>
  <si>
    <t>※２　特定行為研修修了者の内、認定看護師B課程で特定行為研終了した人数(再掲。)</t>
  </si>
  <si>
    <t>（</t>
    <phoneticPr fontId="1"/>
  </si>
  <si>
    <t>）</t>
    <phoneticPr fontId="1"/>
  </si>
  <si>
    <t>　⇒　（３）を回答してください</t>
    <rPh sb="7" eb="9">
      <t>カイトウ</t>
    </rPh>
    <phoneticPr fontId="1"/>
  </si>
  <si>
    <t>非正規雇用</t>
    <rPh sb="0" eb="5">
      <t>ヒセイキコヨウ</t>
    </rPh>
    <phoneticPr fontId="1"/>
  </si>
  <si>
    <t>非正規雇用職員</t>
    <rPh sb="0" eb="5">
      <t>ヒセイキコヨウ</t>
    </rPh>
    <rPh sb="5" eb="7">
      <t>ショクイン</t>
    </rPh>
    <phoneticPr fontId="1"/>
  </si>
  <si>
    <t>正規雇用職員</t>
    <rPh sb="0" eb="6">
      <t>セイキコヨウショクイン</t>
    </rPh>
    <phoneticPr fontId="1"/>
  </si>
  <si>
    <t>採用者</t>
    <rPh sb="0" eb="3">
      <t>サイヨウシャ</t>
    </rPh>
    <phoneticPr fontId="1"/>
  </si>
  <si>
    <t>免許種別</t>
    <rPh sb="0" eb="4">
      <t>メンキョシュベツ</t>
    </rPh>
    <phoneticPr fontId="1"/>
  </si>
  <si>
    <t>雇用形態</t>
    <rPh sb="0" eb="4">
      <t>コヨウケイタイ</t>
    </rPh>
    <phoneticPr fontId="1"/>
  </si>
  <si>
    <t>採用月</t>
    <rPh sb="0" eb="3">
      <t>サイヨウツキ</t>
    </rPh>
    <phoneticPr fontId="1"/>
  </si>
  <si>
    <t>経験の有無</t>
    <rPh sb="0" eb="2">
      <t>ケイケン</t>
    </rPh>
    <rPh sb="3" eb="5">
      <t>ウム</t>
    </rPh>
    <phoneticPr fontId="1"/>
  </si>
  <si>
    <t>カテゴリー</t>
    <phoneticPr fontId="1"/>
  </si>
  <si>
    <t>Ｒ6年4月</t>
    <rPh sb="2" eb="3">
      <t>ネン</t>
    </rPh>
    <rPh sb="4" eb="5">
      <t>ガツ</t>
    </rPh>
    <phoneticPr fontId="1"/>
  </si>
  <si>
    <t>Ｒ6年5月</t>
    <rPh sb="2" eb="3">
      <t>ネン</t>
    </rPh>
    <rPh sb="4" eb="5">
      <t>ガツ</t>
    </rPh>
    <phoneticPr fontId="1"/>
  </si>
  <si>
    <t>Ｒ6年6月</t>
    <rPh sb="2" eb="3">
      <t>ネン</t>
    </rPh>
    <rPh sb="4" eb="5">
      <t>ガツ</t>
    </rPh>
    <phoneticPr fontId="1"/>
  </si>
  <si>
    <t>Ｒ6年7月</t>
    <rPh sb="2" eb="3">
      <t>ネン</t>
    </rPh>
    <rPh sb="4" eb="5">
      <t>ガツ</t>
    </rPh>
    <phoneticPr fontId="1"/>
  </si>
  <si>
    <t>Ｒ6年8月</t>
    <rPh sb="2" eb="3">
      <t>ネン</t>
    </rPh>
    <rPh sb="4" eb="5">
      <t>ガツ</t>
    </rPh>
    <phoneticPr fontId="1"/>
  </si>
  <si>
    <t>Ｒ6年9月</t>
    <rPh sb="2" eb="3">
      <t>ネン</t>
    </rPh>
    <rPh sb="4" eb="5">
      <t>ガツ</t>
    </rPh>
    <phoneticPr fontId="1"/>
  </si>
  <si>
    <t>Ｒ6年10月</t>
    <rPh sb="2" eb="3">
      <t>ネン</t>
    </rPh>
    <rPh sb="5" eb="6">
      <t>ガツ</t>
    </rPh>
    <phoneticPr fontId="1"/>
  </si>
  <si>
    <t>Ｒ6年11月</t>
    <rPh sb="2" eb="3">
      <t>ネン</t>
    </rPh>
    <rPh sb="5" eb="6">
      <t>ガツ</t>
    </rPh>
    <phoneticPr fontId="1"/>
  </si>
  <si>
    <t>Ｒ6年12月</t>
    <rPh sb="2" eb="3">
      <t>ネン</t>
    </rPh>
    <rPh sb="5" eb="6">
      <t>ガツ</t>
    </rPh>
    <phoneticPr fontId="1"/>
  </si>
  <si>
    <t>Ｒ7年1月</t>
    <rPh sb="2" eb="3">
      <t>ネン</t>
    </rPh>
    <rPh sb="4" eb="5">
      <t>ガツ</t>
    </rPh>
    <phoneticPr fontId="1"/>
  </si>
  <si>
    <t>Ｒ7年2月</t>
    <rPh sb="2" eb="3">
      <t>ネン</t>
    </rPh>
    <rPh sb="4" eb="5">
      <t>ガツ</t>
    </rPh>
    <phoneticPr fontId="1"/>
  </si>
  <si>
    <t>Ｒ7年3月</t>
    <rPh sb="2" eb="3">
      <t>ネン</t>
    </rPh>
    <rPh sb="4" eb="5">
      <t>ガツ</t>
    </rPh>
    <phoneticPr fontId="1"/>
  </si>
  <si>
    <t>保健師</t>
    <rPh sb="0" eb="3">
      <t>ホケンシ</t>
    </rPh>
    <phoneticPr fontId="1"/>
  </si>
  <si>
    <t>助産師</t>
    <rPh sb="0" eb="3">
      <t>ジョサンシ</t>
    </rPh>
    <phoneticPr fontId="1"/>
  </si>
  <si>
    <t>看護師</t>
    <rPh sb="0" eb="3">
      <t>カンゴシ</t>
    </rPh>
    <phoneticPr fontId="1"/>
  </si>
  <si>
    <t>准看護師</t>
    <rPh sb="0" eb="4">
      <t>ジュンカンゴシ</t>
    </rPh>
    <phoneticPr fontId="1"/>
  </si>
  <si>
    <t>正規雇用</t>
    <rPh sb="0" eb="4">
      <t>セイキコヨウ</t>
    </rPh>
    <phoneticPr fontId="1"/>
  </si>
  <si>
    <t>新卒</t>
    <rPh sb="0" eb="2">
      <t>シンソツ</t>
    </rPh>
    <phoneticPr fontId="1"/>
  </si>
  <si>
    <t>既卒</t>
    <rPh sb="0" eb="2">
      <t>キソツ</t>
    </rPh>
    <phoneticPr fontId="1"/>
  </si>
  <si>
    <t>准看護師養成所</t>
    <rPh sb="0" eb="4">
      <t>ジュンカンゴシ</t>
    </rPh>
    <rPh sb="4" eb="7">
      <t>ヨウセイショ</t>
    </rPh>
    <phoneticPr fontId="1"/>
  </si>
  <si>
    <t>県外からの採用</t>
    <rPh sb="0" eb="2">
      <t>ケンガイ</t>
    </rPh>
    <rPh sb="5" eb="7">
      <t>サイヨウ</t>
    </rPh>
    <phoneticPr fontId="1"/>
  </si>
  <si>
    <t>新卒（県外養成所）</t>
    <rPh sb="0" eb="2">
      <t>シンソツ</t>
    </rPh>
    <rPh sb="3" eb="5">
      <t>ケンガイ</t>
    </rPh>
    <rPh sb="5" eb="8">
      <t>ヨウセイショ</t>
    </rPh>
    <phoneticPr fontId="1"/>
  </si>
  <si>
    <t>新卒教育背景</t>
    <rPh sb="0" eb="2">
      <t>シンソツ</t>
    </rPh>
    <rPh sb="2" eb="6">
      <t>キョウイクハイケイ</t>
    </rPh>
    <phoneticPr fontId="1"/>
  </si>
  <si>
    <t>例１</t>
    <rPh sb="0" eb="1">
      <t>レイ</t>
    </rPh>
    <phoneticPr fontId="1"/>
  </si>
  <si>
    <t>例２</t>
    <rPh sb="0" eb="1">
      <t>レイ</t>
    </rPh>
    <phoneticPr fontId="1"/>
  </si>
  <si>
    <t>新卒（県内養成所）</t>
    <rPh sb="0" eb="2">
      <t>シンソツ</t>
    </rPh>
    <rPh sb="3" eb="5">
      <t>ケンナイ</t>
    </rPh>
    <rPh sb="5" eb="8">
      <t>ヨウセイショ</t>
    </rPh>
    <phoneticPr fontId="1"/>
  </si>
  <si>
    <r>
      <t xml:space="preserve">令和6年度職員の
</t>
    </r>
    <r>
      <rPr>
        <b/>
        <u/>
        <sz val="11"/>
        <color rgb="FFFF0000"/>
        <rFont val="ＭＳ Ｐゴシック"/>
        <family val="3"/>
        <charset val="128"/>
      </rPr>
      <t>募集</t>
    </r>
    <r>
      <rPr>
        <sz val="11"/>
        <color theme="1"/>
        <rFont val="ＭＳ Ｐゴシック"/>
        <family val="3"/>
        <charset val="128"/>
      </rPr>
      <t>人数</t>
    </r>
    <rPh sb="0" eb="2">
      <t>レイワ</t>
    </rPh>
    <rPh sb="3" eb="4">
      <t>ネン</t>
    </rPh>
    <rPh sb="4" eb="5">
      <t>ド</t>
    </rPh>
    <rPh sb="5" eb="7">
      <t>ショクイン</t>
    </rPh>
    <rPh sb="9" eb="13">
      <t>ボシュウニンズウ</t>
    </rPh>
    <phoneticPr fontId="1"/>
  </si>
  <si>
    <t>募集・採用共にあり</t>
    <rPh sb="0" eb="2">
      <t>ボシュウ</t>
    </rPh>
    <rPh sb="3" eb="5">
      <t>サイヨウ</t>
    </rPh>
    <rPh sb="5" eb="6">
      <t>トモ</t>
    </rPh>
    <phoneticPr fontId="1"/>
  </si>
  <si>
    <t>募集はあったが、採用なし</t>
    <rPh sb="0" eb="2">
      <t>ボシュウ</t>
    </rPh>
    <rPh sb="8" eb="10">
      <t>サイヨウ</t>
    </rPh>
    <phoneticPr fontId="1"/>
  </si>
  <si>
    <t>募集・採用共になし</t>
    <rPh sb="0" eb="2">
      <t>ボシュウ</t>
    </rPh>
    <rPh sb="3" eb="5">
      <t>サイヨウ</t>
    </rPh>
    <rPh sb="5" eb="6">
      <t>トモ</t>
    </rPh>
    <phoneticPr fontId="1"/>
  </si>
  <si>
    <t>既卒（県内に居住又は就業していた）</t>
    <rPh sb="0" eb="2">
      <t>キソツ</t>
    </rPh>
    <rPh sb="3" eb="5">
      <t>ケンナイ</t>
    </rPh>
    <rPh sb="6" eb="8">
      <t>キョジュウ</t>
    </rPh>
    <rPh sb="8" eb="9">
      <t>マタ</t>
    </rPh>
    <rPh sb="10" eb="12">
      <t>シュウギョウ</t>
    </rPh>
    <phoneticPr fontId="1"/>
  </si>
  <si>
    <t>既卒（県外に居住又は県外からの就職）</t>
    <rPh sb="0" eb="2">
      <t>キソツ</t>
    </rPh>
    <rPh sb="3" eb="4">
      <t>ケン</t>
    </rPh>
    <rPh sb="4" eb="5">
      <t>ガイ</t>
    </rPh>
    <rPh sb="6" eb="8">
      <t>キョジュウ</t>
    </rPh>
    <rPh sb="8" eb="9">
      <t>マタ</t>
    </rPh>
    <rPh sb="10" eb="12">
      <t>ケンガイ</t>
    </rPh>
    <rPh sb="15" eb="17">
      <t>シュウショク</t>
    </rPh>
    <phoneticPr fontId="1"/>
  </si>
  <si>
    <t>20歳未満</t>
    <rPh sb="2" eb="5">
      <t>サイミマン</t>
    </rPh>
    <phoneticPr fontId="1"/>
  </si>
  <si>
    <t>看護師学校養成所・短期大学（２年課程）</t>
    <rPh sb="0" eb="3">
      <t>カンゴシ</t>
    </rPh>
    <rPh sb="3" eb="5">
      <t>ガッコウ</t>
    </rPh>
    <rPh sb="5" eb="8">
      <t>ヨウセイジョ</t>
    </rPh>
    <rPh sb="9" eb="11">
      <t>タンキ</t>
    </rPh>
    <rPh sb="11" eb="13">
      <t>ダイガク</t>
    </rPh>
    <rPh sb="15" eb="16">
      <t>ネン</t>
    </rPh>
    <rPh sb="16" eb="18">
      <t>カテイ</t>
    </rPh>
    <phoneticPr fontId="1"/>
  </si>
  <si>
    <t>退職はあった</t>
    <rPh sb="0" eb="2">
      <t>タイショク</t>
    </rPh>
    <phoneticPr fontId="1"/>
  </si>
  <si>
    <t>退職はなかった</t>
    <rPh sb="0" eb="2">
      <t>タイショク</t>
    </rPh>
    <phoneticPr fontId="1"/>
  </si>
  <si>
    <t>退職者</t>
    <rPh sb="0" eb="2">
      <t>タイショク</t>
    </rPh>
    <rPh sb="2" eb="3">
      <t>シャ</t>
    </rPh>
    <phoneticPr fontId="1"/>
  </si>
  <si>
    <t>年代</t>
    <rPh sb="0" eb="2">
      <t>ネンダイ</t>
    </rPh>
    <phoneticPr fontId="1"/>
  </si>
  <si>
    <t>1～5年</t>
    <rPh sb="3" eb="4">
      <t>ネン</t>
    </rPh>
    <phoneticPr fontId="1"/>
  </si>
  <si>
    <t>勤務年数</t>
    <rPh sb="0" eb="4">
      <t>キンムネンスウ</t>
    </rPh>
    <phoneticPr fontId="1"/>
  </si>
  <si>
    <t>退職理由</t>
    <rPh sb="0" eb="4">
      <t>タイショクリユウ</t>
    </rPh>
    <phoneticPr fontId="1"/>
  </si>
  <si>
    <t>退職時の年代</t>
    <rPh sb="0" eb="3">
      <t>タイショクジ</t>
    </rPh>
    <rPh sb="4" eb="6">
      <t>ネンダイ</t>
    </rPh>
    <phoneticPr fontId="1"/>
  </si>
  <si>
    <t>退職時の年代</t>
    <rPh sb="0" eb="3">
      <t>タイショクジ</t>
    </rPh>
    <rPh sb="4" eb="6">
      <t>ネンダイ</t>
    </rPh>
    <phoneticPr fontId="1"/>
  </si>
  <si>
    <t>退職年月</t>
    <rPh sb="0" eb="2">
      <t>タイショク</t>
    </rPh>
    <rPh sb="2" eb="4">
      <t>ネンツキ</t>
    </rPh>
    <phoneticPr fontId="1"/>
  </si>
  <si>
    <t>退職年月</t>
    <rPh sb="0" eb="2">
      <t>タイショク</t>
    </rPh>
    <rPh sb="2" eb="3">
      <t>ネン</t>
    </rPh>
    <rPh sb="3" eb="4">
      <t>ツキ</t>
    </rPh>
    <phoneticPr fontId="1"/>
  </si>
  <si>
    <t>１年未満（新卒）</t>
    <rPh sb="1" eb="4">
      <t>ネンミマン</t>
    </rPh>
    <rPh sb="5" eb="7">
      <t>シンソツ</t>
    </rPh>
    <phoneticPr fontId="1"/>
  </si>
  <si>
    <t>１年未満（既卒）</t>
    <rPh sb="1" eb="4">
      <t>ネンミマン</t>
    </rPh>
    <rPh sb="5" eb="7">
      <t>キソツ</t>
    </rPh>
    <phoneticPr fontId="1"/>
  </si>
  <si>
    <t>新卒者の
教育背景</t>
    <rPh sb="0" eb="2">
      <t>シンソツ</t>
    </rPh>
    <rPh sb="2" eb="3">
      <t>シャ</t>
    </rPh>
    <rPh sb="5" eb="7">
      <t>キョウイク</t>
    </rPh>
    <rPh sb="7" eb="9">
      <t>ハイケイ</t>
    </rPh>
    <phoneticPr fontId="1"/>
  </si>
  <si>
    <t>問５　認定看護師、特定行為研修修了看護師、専門看護師、診療看護師（NP）、認定看護管理者について</t>
    <rPh sb="0" eb="1">
      <t>トイ</t>
    </rPh>
    <rPh sb="3" eb="8">
      <t>ニンテイカンゴシ</t>
    </rPh>
    <rPh sb="9" eb="13">
      <t>トクテイコウイ</t>
    </rPh>
    <rPh sb="13" eb="15">
      <t>ケンシュウ</t>
    </rPh>
    <rPh sb="15" eb="17">
      <t>シュウリョウ</t>
    </rPh>
    <rPh sb="17" eb="20">
      <t>カンゴシ</t>
    </rPh>
    <rPh sb="21" eb="23">
      <t>センモン</t>
    </rPh>
    <rPh sb="23" eb="26">
      <t>カンゴシ</t>
    </rPh>
    <rPh sb="27" eb="29">
      <t>シンリョウ</t>
    </rPh>
    <rPh sb="29" eb="32">
      <t>カンゴシ</t>
    </rPh>
    <rPh sb="37" eb="44">
      <t>ニンテイカンゴカンリシャ</t>
    </rPh>
    <phoneticPr fontId="1"/>
  </si>
  <si>
    <t>自己都合退職</t>
    <rPh sb="0" eb="6">
      <t>ジコツゴウタイショク</t>
    </rPh>
    <phoneticPr fontId="1"/>
  </si>
  <si>
    <t>○</t>
  </si>
  <si>
    <t>○</t>
    <phoneticPr fontId="1"/>
  </si>
  <si>
    <t>×</t>
    <phoneticPr fontId="1"/>
  </si>
  <si>
    <t>［採用カテゴリー］</t>
    <rPh sb="1" eb="3">
      <t>サイヨウ</t>
    </rPh>
    <phoneticPr fontId="1"/>
  </si>
  <si>
    <t>［退職カテゴリー］</t>
    <rPh sb="1" eb="3">
      <t>タイショク</t>
    </rPh>
    <phoneticPr fontId="1"/>
  </si>
  <si>
    <t>例）車の運転が不安なため</t>
    <rPh sb="0" eb="1">
      <t>レイ</t>
    </rPh>
    <rPh sb="2" eb="3">
      <t>クルマ</t>
    </rPh>
    <rPh sb="4" eb="6">
      <t>ウンテン</t>
    </rPh>
    <rPh sb="7" eb="9">
      <t>フアン</t>
    </rPh>
    <phoneticPr fontId="1"/>
  </si>
  <si>
    <t>経験の有無※1</t>
    <rPh sb="0" eb="2">
      <t>ケイケン</t>
    </rPh>
    <rPh sb="3" eb="5">
      <t>ウム</t>
    </rPh>
    <phoneticPr fontId="1"/>
  </si>
  <si>
    <t>※1　経験の有無の新卒とは、免許取得後、初めて看護職員として就業した者</t>
    <rPh sb="3" eb="5">
      <t>ケイケン</t>
    </rPh>
    <rPh sb="6" eb="8">
      <t>ウム</t>
    </rPh>
    <rPh sb="9" eb="11">
      <t>シンソツ</t>
    </rPh>
    <rPh sb="34" eb="35">
      <t>モノ</t>
    </rPh>
    <phoneticPr fontId="1"/>
  </si>
  <si>
    <t>県内外からの採用状況※2</t>
    <rPh sb="0" eb="2">
      <t>ケンナイ</t>
    </rPh>
    <rPh sb="2" eb="3">
      <t>ガイ</t>
    </rPh>
    <rPh sb="6" eb="8">
      <t>サイヨウ</t>
    </rPh>
    <rPh sb="8" eb="10">
      <t>ジョウキョウ</t>
    </rPh>
    <phoneticPr fontId="1"/>
  </si>
  <si>
    <t>※2  既卒の県外からの就業者とは、直近１年間、県外に居住又は就業していた者
       （県外から県内に転入後、県内での就業がある場合は、「県内に居住又は就業していた」を選択）</t>
    <rPh sb="4" eb="6">
      <t>キソツ</t>
    </rPh>
    <rPh sb="7" eb="9">
      <t>ケンガイ</t>
    </rPh>
    <rPh sb="12" eb="15">
      <t>シュウギョウシャ</t>
    </rPh>
    <rPh sb="18" eb="20">
      <t>チョッキン</t>
    </rPh>
    <rPh sb="21" eb="22">
      <t>ネン</t>
    </rPh>
    <rPh sb="22" eb="23">
      <t>アイダ</t>
    </rPh>
    <rPh sb="24" eb="26">
      <t>ケンガイ</t>
    </rPh>
    <rPh sb="27" eb="29">
      <t>キョジュウ</t>
    </rPh>
    <rPh sb="29" eb="30">
      <t>マタ</t>
    </rPh>
    <rPh sb="31" eb="33">
      <t>シュウギョウ</t>
    </rPh>
    <rPh sb="37" eb="38">
      <t>モノ</t>
    </rPh>
    <rPh sb="47" eb="49">
      <t>ケンガイ</t>
    </rPh>
    <rPh sb="51" eb="53">
      <t>ケンナイ</t>
    </rPh>
    <rPh sb="54" eb="56">
      <t>テンニュウ</t>
    </rPh>
    <rPh sb="56" eb="57">
      <t>ゴ</t>
    </rPh>
    <rPh sb="58" eb="60">
      <t>ケンナイ</t>
    </rPh>
    <rPh sb="62" eb="64">
      <t>シュウギョウ</t>
    </rPh>
    <rPh sb="67" eb="69">
      <t>バアイ</t>
    </rPh>
    <rPh sb="72" eb="74">
      <t>ケンナイ</t>
    </rPh>
    <rPh sb="75" eb="77">
      <t>キョジュウ</t>
    </rPh>
    <rPh sb="77" eb="78">
      <t>マタ</t>
    </rPh>
    <rPh sb="79" eb="81">
      <t>シュウギョウ</t>
    </rPh>
    <rPh sb="87" eb="89">
      <t>センタク</t>
    </rPh>
    <phoneticPr fontId="1"/>
  </si>
  <si>
    <t>　　　※定年退職は、自己都合に含みません</t>
    <rPh sb="4" eb="8">
      <t>テイネンタイショク</t>
    </rPh>
    <rPh sb="10" eb="14">
      <t>ジコツゴウ</t>
    </rPh>
    <rPh sb="15" eb="16">
      <t>フク</t>
    </rPh>
    <phoneticPr fontId="1"/>
  </si>
  <si>
    <t>　　　※それぞれの選択肢は、右の退職カテゴリーから選択してください。</t>
    <rPh sb="9" eb="12">
      <t>センタクシ</t>
    </rPh>
    <rPh sb="14" eb="15">
      <t>ミギ</t>
    </rPh>
    <rPh sb="16" eb="18">
      <t>タイショク</t>
    </rPh>
    <rPh sb="25" eb="27">
      <t>センタク</t>
    </rPh>
    <phoneticPr fontId="1"/>
  </si>
  <si>
    <t>※２　「0」人を入力された場合は、（３）へお進みください。</t>
    <phoneticPr fontId="1"/>
  </si>
  <si>
    <t>問６　２４時間対応体制について</t>
    <rPh sb="0" eb="1">
      <t>トイ</t>
    </rPh>
    <rPh sb="5" eb="7">
      <t>ジカン</t>
    </rPh>
    <rPh sb="7" eb="9">
      <t>タイオウ</t>
    </rPh>
    <rPh sb="9" eb="11">
      <t>タイセイ</t>
    </rPh>
    <phoneticPr fontId="1"/>
  </si>
  <si>
    <t>２４時間対応体制をとっている</t>
    <rPh sb="2" eb="4">
      <t>ジカン</t>
    </rPh>
    <rPh sb="4" eb="6">
      <t>タイオウ</t>
    </rPh>
    <rPh sb="6" eb="8">
      <t>タイセイ</t>
    </rPh>
    <phoneticPr fontId="1"/>
  </si>
  <si>
    <r>
      <t>自分の</t>
    </r>
    <r>
      <rPr>
        <u/>
        <sz val="11"/>
        <color rgb="FFFF0000"/>
        <rFont val="HG丸ｺﾞｼｯｸM-PRO"/>
        <family val="3"/>
        <charset val="128"/>
      </rPr>
      <t>能力</t>
    </r>
    <r>
      <rPr>
        <u/>
        <vertAlign val="superscript"/>
        <sz val="11"/>
        <color rgb="FFFF0000"/>
        <rFont val="HG丸ｺﾞｼｯｸM-PRO"/>
        <family val="3"/>
        <charset val="128"/>
      </rPr>
      <t>※2</t>
    </r>
    <r>
      <rPr>
        <sz val="11"/>
        <color rgb="FFFF0000"/>
        <rFont val="HG丸ｺﾞｼｯｸM-PRO"/>
        <family val="3"/>
        <charset val="128"/>
      </rPr>
      <t>への不安</t>
    </r>
    <rPh sb="0" eb="2">
      <t>ジブン</t>
    </rPh>
    <rPh sb="3" eb="5">
      <t>ノウリョク</t>
    </rPh>
    <rPh sb="9" eb="11">
      <t>フアン</t>
    </rPh>
    <phoneticPr fontId="1"/>
  </si>
  <si>
    <r>
      <t>自分の</t>
    </r>
    <r>
      <rPr>
        <u/>
        <sz val="11"/>
        <color rgb="FFFF0000"/>
        <rFont val="HG丸ｺﾞｼｯｸM-PRO"/>
        <family val="3"/>
        <charset val="128"/>
      </rPr>
      <t>適性</t>
    </r>
    <r>
      <rPr>
        <u/>
        <vertAlign val="superscript"/>
        <sz val="11"/>
        <color rgb="FFFF0000"/>
        <rFont val="HG丸ｺﾞｼｯｸM-PRO"/>
        <family val="3"/>
        <charset val="128"/>
      </rPr>
      <t>※1</t>
    </r>
    <r>
      <rPr>
        <sz val="11"/>
        <color rgb="FFFF0000"/>
        <rFont val="HG丸ｺﾞｼｯｸM-PRO"/>
        <family val="3"/>
        <charset val="128"/>
      </rPr>
      <t>への不安</t>
    </r>
    <rPh sb="0" eb="2">
      <t>ジブン</t>
    </rPh>
    <rPh sb="3" eb="5">
      <t>テキセイ</t>
    </rPh>
    <rPh sb="9" eb="11">
      <t>フアン</t>
    </rPh>
    <phoneticPr fontId="1"/>
  </si>
  <si>
    <t>※２能力：訪問看護に求められる看護知識、技術、判断など（コミュニケーション能力、アセスメント能力等）</t>
    <rPh sb="2" eb="4">
      <t>ノウリョク</t>
    </rPh>
    <rPh sb="5" eb="7">
      <t>ホウモン</t>
    </rPh>
    <rPh sb="7" eb="9">
      <t>カンゴ</t>
    </rPh>
    <rPh sb="10" eb="11">
      <t>モト</t>
    </rPh>
    <rPh sb="15" eb="17">
      <t>カンゴ</t>
    </rPh>
    <rPh sb="17" eb="19">
      <t>チシキ</t>
    </rPh>
    <rPh sb="20" eb="22">
      <t>ギジュツ</t>
    </rPh>
    <rPh sb="23" eb="25">
      <t>ハンダン</t>
    </rPh>
    <rPh sb="37" eb="39">
      <t>ノウリョク</t>
    </rPh>
    <rPh sb="46" eb="48">
      <t>ノウリョク</t>
    </rPh>
    <rPh sb="48" eb="49">
      <t>ナド</t>
    </rPh>
    <phoneticPr fontId="1"/>
  </si>
  <si>
    <r>
      <t>※１ 適性：自分の価値観や性格等が訪問看護の仕事内容にあっているかどうか</t>
    </r>
    <r>
      <rPr>
        <sz val="10"/>
        <color rgb="FFFF0000"/>
        <rFont val="HG丸ｺﾞｼｯｸM-PRO"/>
        <family val="3"/>
        <charset val="128"/>
      </rPr>
      <t>（向き不向き、やりがい、運転が苦手等）</t>
    </r>
    <rPh sb="3" eb="5">
      <t>テキセイ</t>
    </rPh>
    <rPh sb="6" eb="8">
      <t>ジブン</t>
    </rPh>
    <rPh sb="9" eb="12">
      <t>カチカン</t>
    </rPh>
    <rPh sb="13" eb="16">
      <t>セイカクトウ</t>
    </rPh>
    <rPh sb="17" eb="21">
      <t>ホウモンカンゴ</t>
    </rPh>
    <rPh sb="22" eb="24">
      <t>シゴト</t>
    </rPh>
    <rPh sb="24" eb="26">
      <t>ナイヨウ</t>
    </rPh>
    <rPh sb="37" eb="38">
      <t>ム</t>
    </rPh>
    <rPh sb="39" eb="41">
      <t>フム</t>
    </rPh>
    <rPh sb="48" eb="50">
      <t>ウンテン</t>
    </rPh>
    <rPh sb="51" eb="53">
      <t>ニガテ</t>
    </rPh>
    <rPh sb="53" eb="54">
      <t>トウ</t>
    </rPh>
    <phoneticPr fontId="1"/>
  </si>
  <si>
    <t>正規雇用職員数</t>
    <rPh sb="0" eb="2">
      <t>セイキ</t>
    </rPh>
    <rPh sb="2" eb="4">
      <t>コヨウ</t>
    </rPh>
    <rPh sb="4" eb="7">
      <t>ショクインスウ</t>
    </rPh>
    <phoneticPr fontId="1"/>
  </si>
  <si>
    <t>非正規雇用職員数</t>
    <rPh sb="0" eb="5">
      <t>ヒセイキコヨウ</t>
    </rPh>
    <rPh sb="5" eb="8">
      <t>ショクインスウ</t>
    </rPh>
    <phoneticPr fontId="1"/>
  </si>
  <si>
    <t>職員数（合計）</t>
    <rPh sb="0" eb="3">
      <t>ショクインスウ</t>
    </rPh>
    <rPh sb="4" eb="6">
      <t>ゴウケイ</t>
    </rPh>
    <phoneticPr fontId="1"/>
  </si>
  <si>
    <t>募集の有無</t>
    <rPh sb="0" eb="2">
      <t>ボシュウ</t>
    </rPh>
    <rPh sb="3" eb="5">
      <t>ウム</t>
    </rPh>
    <phoneticPr fontId="1"/>
  </si>
  <si>
    <t>募集・採用あり</t>
    <rPh sb="0" eb="2">
      <t>ボシュウ</t>
    </rPh>
    <rPh sb="3" eb="5">
      <t>サイヨウ</t>
    </rPh>
    <phoneticPr fontId="1"/>
  </si>
  <si>
    <t>募集あり・採用なし</t>
    <rPh sb="0" eb="2">
      <t>ボシュウ</t>
    </rPh>
    <rPh sb="5" eb="7">
      <t>サイヨウ</t>
    </rPh>
    <phoneticPr fontId="1"/>
  </si>
  <si>
    <t>募集・採用なし</t>
    <rPh sb="0" eb="2">
      <t>ボシュウ</t>
    </rPh>
    <rPh sb="3" eb="5">
      <t>サイヨウ</t>
    </rPh>
    <phoneticPr fontId="1"/>
  </si>
  <si>
    <t>募集（正規雇用職員）</t>
    <rPh sb="0" eb="2">
      <t>ボシュウ</t>
    </rPh>
    <rPh sb="3" eb="5">
      <t>セイキ</t>
    </rPh>
    <rPh sb="5" eb="7">
      <t>コヨウ</t>
    </rPh>
    <rPh sb="7" eb="9">
      <t>ショクイン</t>
    </rPh>
    <phoneticPr fontId="1"/>
  </si>
  <si>
    <t>募集（非正規雇用職員）</t>
    <rPh sb="0" eb="2">
      <t>ボシュウ</t>
    </rPh>
    <rPh sb="3" eb="8">
      <t>ヒセイキコヨウ</t>
    </rPh>
    <rPh sb="8" eb="10">
      <t>ショクイン</t>
    </rPh>
    <phoneticPr fontId="1"/>
  </si>
  <si>
    <t>採用（正規雇用職員）</t>
    <rPh sb="0" eb="2">
      <t>サイヨウ</t>
    </rPh>
    <rPh sb="3" eb="9">
      <t>セイキコヨウショクイン</t>
    </rPh>
    <phoneticPr fontId="1"/>
  </si>
  <si>
    <t>採用（非正規雇用職員）</t>
    <rPh sb="0" eb="2">
      <t>サイヨウ</t>
    </rPh>
    <rPh sb="3" eb="10">
      <t>ヒセイキコヨウショクイン</t>
    </rPh>
    <phoneticPr fontId="1"/>
  </si>
  <si>
    <t>問２　職員の就業状況</t>
    <rPh sb="0" eb="1">
      <t>トイ</t>
    </rPh>
    <rPh sb="3" eb="5">
      <t>ショクイン</t>
    </rPh>
    <rPh sb="6" eb="10">
      <t>シュウギョウジョウキョウ</t>
    </rPh>
    <phoneticPr fontId="1"/>
  </si>
  <si>
    <r>
      <t>（１）</t>
    </r>
    <r>
      <rPr>
        <b/>
        <sz val="11"/>
        <color rgb="FFFF0000"/>
        <rFont val="ＭＳ Ｐゴシック"/>
        <family val="3"/>
        <charset val="128"/>
      </rPr>
      <t>令和６年度</t>
    </r>
    <r>
      <rPr>
        <b/>
        <sz val="11"/>
        <color theme="1"/>
        <rFont val="ＭＳ Ｐゴシック"/>
        <family val="3"/>
        <charset val="128"/>
      </rPr>
      <t>（R6.4.1～R7.3.31）、看護職員の募集・採用はありましたか。</t>
    </r>
    <rPh sb="25" eb="29">
      <t>カンゴショクイン</t>
    </rPh>
    <rPh sb="30" eb="32">
      <t>ボシュウ</t>
    </rPh>
    <rPh sb="33" eb="35">
      <t>サイヨウ</t>
    </rPh>
    <phoneticPr fontId="1"/>
  </si>
  <si>
    <t>（２）募集状況（人数）について記入してください。</t>
    <phoneticPr fontId="1"/>
  </si>
  <si>
    <t>（３）採用した看護職員の状況について記入してください。</t>
    <rPh sb="3" eb="5">
      <t>サイヨウ</t>
    </rPh>
    <rPh sb="7" eb="10">
      <t>カンゴショク</t>
    </rPh>
    <rPh sb="10" eb="11">
      <t>イン</t>
    </rPh>
    <rPh sb="12" eb="14">
      <t>ジョウキョウ</t>
    </rPh>
    <rPh sb="18" eb="20">
      <t>キニュウ</t>
    </rPh>
    <phoneticPr fontId="1"/>
  </si>
  <si>
    <r>
      <t>（１）</t>
    </r>
    <r>
      <rPr>
        <b/>
        <sz val="11"/>
        <color rgb="FFFF0000"/>
        <rFont val="ＭＳ Ｐゴシック"/>
        <family val="3"/>
        <charset val="128"/>
      </rPr>
      <t>令和６年度</t>
    </r>
    <r>
      <rPr>
        <b/>
        <sz val="11"/>
        <color theme="1"/>
        <rFont val="ＭＳ Ｐゴシック"/>
        <family val="3"/>
        <charset val="128"/>
      </rPr>
      <t>（R6.4.1～R7.3.31）、看護職員の退職はありましたか。</t>
    </r>
    <phoneticPr fontId="1"/>
  </si>
  <si>
    <t>（２）退職した看護職員の状況について記入してください。</t>
    <rPh sb="3" eb="5">
      <t>タイショク</t>
    </rPh>
    <rPh sb="7" eb="10">
      <t>カンゴショク</t>
    </rPh>
    <rPh sb="10" eb="11">
      <t>イン</t>
    </rPh>
    <rPh sb="12" eb="14">
      <t>ジョウキョウ</t>
    </rPh>
    <rPh sb="18" eb="20">
      <t>キニュウ</t>
    </rPh>
    <phoneticPr fontId="1"/>
  </si>
  <si>
    <t>（３）退職理由が「その他」の場合、その理由を記入してください。</t>
    <rPh sb="3" eb="7">
      <t>タイショクリユウ</t>
    </rPh>
    <rPh sb="11" eb="12">
      <t>タ</t>
    </rPh>
    <rPh sb="14" eb="16">
      <t>バアイ</t>
    </rPh>
    <rPh sb="19" eb="21">
      <t>リユウ</t>
    </rPh>
    <rPh sb="22" eb="24">
      <t>キニュウ</t>
    </rPh>
    <phoneticPr fontId="1"/>
  </si>
  <si>
    <t>採用（合計）</t>
    <rPh sb="0" eb="2">
      <t>サイヨウ</t>
    </rPh>
    <rPh sb="3" eb="5">
      <t>ゴウケイ</t>
    </rPh>
    <phoneticPr fontId="1"/>
  </si>
  <si>
    <t>Ｒ６年４月１日看護職員</t>
    <rPh sb="2" eb="3">
      <t>ネン</t>
    </rPh>
    <rPh sb="4" eb="5">
      <t>ガツ</t>
    </rPh>
    <rPh sb="6" eb="7">
      <t>ニチ</t>
    </rPh>
    <rPh sb="7" eb="11">
      <t>カンゴショクイン</t>
    </rPh>
    <phoneticPr fontId="1"/>
  </si>
  <si>
    <t>募集人数</t>
    <rPh sb="0" eb="4">
      <t>ボシュウニンズウ</t>
    </rPh>
    <phoneticPr fontId="1"/>
  </si>
  <si>
    <t>採用状況（職種別）</t>
    <rPh sb="0" eb="4">
      <t>サイヨウジョウキョウ</t>
    </rPh>
    <rPh sb="5" eb="8">
      <t>ショクシュベツ</t>
    </rPh>
    <phoneticPr fontId="1"/>
  </si>
  <si>
    <t>募集（合計）</t>
    <rPh sb="0" eb="2">
      <t>ボシュウ</t>
    </rPh>
    <rPh sb="3" eb="5">
      <t>ゴウケイ</t>
    </rPh>
    <phoneticPr fontId="1"/>
  </si>
  <si>
    <t>採用時年齢（正規）</t>
    <rPh sb="0" eb="5">
      <t>サイヨウジネンレイ</t>
    </rPh>
    <rPh sb="6" eb="8">
      <t>セイキ</t>
    </rPh>
    <phoneticPr fontId="1"/>
  </si>
  <si>
    <t>採用時年齢（非正規）</t>
    <rPh sb="0" eb="5">
      <t>サイヨウジネンレイ</t>
    </rPh>
    <rPh sb="6" eb="9">
      <t>ヒセイキ</t>
    </rPh>
    <phoneticPr fontId="1"/>
  </si>
  <si>
    <t>採用時年齢（合計）</t>
    <rPh sb="0" eb="5">
      <t>サイヨウジネンレイ</t>
    </rPh>
    <rPh sb="6" eb="8">
      <t>ゴウケイ</t>
    </rPh>
    <phoneticPr fontId="1"/>
  </si>
  <si>
    <t>新卒者採用</t>
    <rPh sb="0" eb="3">
      <t>シンソツシャ</t>
    </rPh>
    <rPh sb="3" eb="5">
      <t>サイヨウ</t>
    </rPh>
    <phoneticPr fontId="1"/>
  </si>
  <si>
    <t>新卒者（正規）</t>
    <rPh sb="0" eb="3">
      <t>シンソツシャ</t>
    </rPh>
    <rPh sb="4" eb="6">
      <t>セイキ</t>
    </rPh>
    <phoneticPr fontId="1"/>
  </si>
  <si>
    <t>新卒者（非正規）</t>
    <rPh sb="0" eb="3">
      <t>シンソツシャ</t>
    </rPh>
    <rPh sb="4" eb="7">
      <t>ヒセイキ</t>
    </rPh>
    <phoneticPr fontId="1"/>
  </si>
  <si>
    <t>新卒者（合計）</t>
    <rPh sb="0" eb="3">
      <t>シンソツシャ</t>
    </rPh>
    <rPh sb="4" eb="6">
      <t>ゴウケイ</t>
    </rPh>
    <phoneticPr fontId="1"/>
  </si>
  <si>
    <t>退職人数（非正規）</t>
    <rPh sb="0" eb="2">
      <t>タイショク</t>
    </rPh>
    <rPh sb="2" eb="4">
      <t>ニンズウ</t>
    </rPh>
    <rPh sb="5" eb="8">
      <t>ヒセイキ</t>
    </rPh>
    <phoneticPr fontId="1"/>
  </si>
  <si>
    <t>退職人数（正規）</t>
    <rPh sb="0" eb="2">
      <t>タイショク</t>
    </rPh>
    <rPh sb="2" eb="4">
      <t>ニンズウ</t>
    </rPh>
    <rPh sb="5" eb="7">
      <t>セイキ</t>
    </rPh>
    <phoneticPr fontId="1"/>
  </si>
  <si>
    <t>退職人数（合計）</t>
    <rPh sb="0" eb="2">
      <t>タイショク</t>
    </rPh>
    <rPh sb="2" eb="4">
      <t>ニンズウ</t>
    </rPh>
    <rPh sb="5" eb="7">
      <t>ゴウケイ</t>
    </rPh>
    <phoneticPr fontId="1"/>
  </si>
  <si>
    <t>退職の有無</t>
    <rPh sb="0" eb="2">
      <t>タイショク</t>
    </rPh>
    <rPh sb="3" eb="5">
      <t>ウム</t>
    </rPh>
    <phoneticPr fontId="1"/>
  </si>
  <si>
    <r>
      <t>問３　看護職員の募集・採用状況</t>
    </r>
    <r>
      <rPr>
        <b/>
        <u/>
        <sz val="11"/>
        <color theme="1"/>
        <rFont val="ＭＳ Ｐゴシック"/>
        <family val="3"/>
        <charset val="128"/>
      </rPr>
      <t>（令６年４月１日～令和７年３月３１日）</t>
    </r>
    <rPh sb="0" eb="1">
      <t>トイ</t>
    </rPh>
    <rPh sb="3" eb="7">
      <t>カンゴショクイン</t>
    </rPh>
    <rPh sb="8" eb="10">
      <t>ボシュウ</t>
    </rPh>
    <rPh sb="11" eb="13">
      <t>サイヨウ</t>
    </rPh>
    <rPh sb="13" eb="15">
      <t>ジョウキョウ</t>
    </rPh>
    <rPh sb="16" eb="17">
      <t>レイ</t>
    </rPh>
    <rPh sb="18" eb="19">
      <t>ネン</t>
    </rPh>
    <rPh sb="20" eb="21">
      <t>ガツ</t>
    </rPh>
    <rPh sb="22" eb="23">
      <t>ニチ</t>
    </rPh>
    <rPh sb="24" eb="26">
      <t>レイワ</t>
    </rPh>
    <rPh sb="27" eb="28">
      <t>ネン</t>
    </rPh>
    <rPh sb="29" eb="30">
      <t>ガツ</t>
    </rPh>
    <rPh sb="32" eb="33">
      <t>ニチ</t>
    </rPh>
    <phoneticPr fontId="1"/>
  </si>
  <si>
    <t>退職有</t>
    <rPh sb="0" eb="3">
      <t>タイショクアリ</t>
    </rPh>
    <phoneticPr fontId="1"/>
  </si>
  <si>
    <t>退職無</t>
    <rPh sb="0" eb="3">
      <t>タイショクナシ</t>
    </rPh>
    <phoneticPr fontId="1"/>
  </si>
  <si>
    <t>×</t>
  </si>
  <si>
    <r>
      <t>自分の</t>
    </r>
    <r>
      <rPr>
        <u/>
        <sz val="11"/>
        <rFont val="ＭＳ Ｐゴシック"/>
        <family val="3"/>
        <charset val="128"/>
      </rPr>
      <t>適性</t>
    </r>
    <r>
      <rPr>
        <u/>
        <vertAlign val="superscript"/>
        <sz val="11"/>
        <rFont val="ＭＳ Ｐゴシック"/>
        <family val="3"/>
        <charset val="128"/>
      </rPr>
      <t>※1</t>
    </r>
    <r>
      <rPr>
        <sz val="11"/>
        <rFont val="ＭＳ Ｐゴシック"/>
        <family val="3"/>
        <charset val="128"/>
      </rPr>
      <t>への不安</t>
    </r>
    <rPh sb="0" eb="2">
      <t>ジブン</t>
    </rPh>
    <rPh sb="3" eb="5">
      <t>テキセイ</t>
    </rPh>
    <rPh sb="9" eb="11">
      <t>フアン</t>
    </rPh>
    <phoneticPr fontId="1"/>
  </si>
  <si>
    <r>
      <t>自分の</t>
    </r>
    <r>
      <rPr>
        <u/>
        <sz val="11"/>
        <rFont val="ＭＳ Ｐゴシック"/>
        <family val="3"/>
        <charset val="128"/>
      </rPr>
      <t>能力</t>
    </r>
    <r>
      <rPr>
        <u/>
        <vertAlign val="superscript"/>
        <sz val="11"/>
        <rFont val="ＭＳ Ｐゴシック"/>
        <family val="3"/>
        <charset val="128"/>
      </rPr>
      <t>※2</t>
    </r>
    <r>
      <rPr>
        <sz val="11"/>
        <rFont val="ＭＳ Ｐゴシック"/>
        <family val="3"/>
        <charset val="128"/>
      </rPr>
      <t>への不安</t>
    </r>
    <rPh sb="0" eb="2">
      <t>ジブン</t>
    </rPh>
    <rPh sb="3" eb="5">
      <t>ノウリョク</t>
    </rPh>
    <rPh sb="9" eb="11">
      <t>フアン</t>
    </rPh>
    <phoneticPr fontId="1"/>
  </si>
  <si>
    <t>退職時勤務年数（正規）</t>
    <rPh sb="0" eb="2">
      <t>タイショク</t>
    </rPh>
    <rPh sb="2" eb="3">
      <t>ジ</t>
    </rPh>
    <rPh sb="3" eb="5">
      <t>キンム</t>
    </rPh>
    <rPh sb="5" eb="7">
      <t>ネンスウ</t>
    </rPh>
    <rPh sb="8" eb="10">
      <t>セイキ</t>
    </rPh>
    <phoneticPr fontId="1"/>
  </si>
  <si>
    <t>退職時勤務年数（非正規）</t>
    <rPh sb="0" eb="2">
      <t>タイショク</t>
    </rPh>
    <rPh sb="2" eb="3">
      <t>ジ</t>
    </rPh>
    <rPh sb="3" eb="5">
      <t>キンム</t>
    </rPh>
    <rPh sb="5" eb="7">
      <t>ネンスウ</t>
    </rPh>
    <rPh sb="8" eb="11">
      <t>ヒセイキ</t>
    </rPh>
    <phoneticPr fontId="1"/>
  </si>
  <si>
    <t>退職時勤務年数（合計）</t>
    <rPh sb="0" eb="2">
      <t>タイショク</t>
    </rPh>
    <rPh sb="2" eb="3">
      <t>ジ</t>
    </rPh>
    <rPh sb="3" eb="5">
      <t>キンム</t>
    </rPh>
    <rPh sb="5" eb="7">
      <t>ネンスウ</t>
    </rPh>
    <rPh sb="8" eb="10">
      <t>ゴウケイ</t>
    </rPh>
    <phoneticPr fontId="1"/>
  </si>
  <si>
    <t>退職年齢（正規）</t>
    <rPh sb="0" eb="4">
      <t>タイショクネンレイ</t>
    </rPh>
    <rPh sb="5" eb="7">
      <t>セイキ</t>
    </rPh>
    <phoneticPr fontId="1"/>
  </si>
  <si>
    <t>退職年齢（非正規）</t>
    <rPh sb="0" eb="4">
      <t>タイショクネンレイ</t>
    </rPh>
    <rPh sb="5" eb="8">
      <t>ヒセイキ</t>
    </rPh>
    <phoneticPr fontId="1"/>
  </si>
  <si>
    <t>退職年齢（合計）</t>
    <rPh sb="0" eb="4">
      <t>タイショクネンレイ</t>
    </rPh>
    <rPh sb="5" eb="7">
      <t>ゴウケイ</t>
    </rPh>
    <phoneticPr fontId="1"/>
  </si>
  <si>
    <t>退職理由（正規）</t>
    <rPh sb="0" eb="4">
      <t>タイショクリユウ</t>
    </rPh>
    <rPh sb="5" eb="7">
      <t>セイキ</t>
    </rPh>
    <phoneticPr fontId="1"/>
  </si>
  <si>
    <t>退職理由（非正規）</t>
    <rPh sb="0" eb="4">
      <t>タイショクリユウ</t>
    </rPh>
    <rPh sb="5" eb="8">
      <t>ヒセイキ</t>
    </rPh>
    <phoneticPr fontId="1"/>
  </si>
  <si>
    <t>退職理由（合計）</t>
    <rPh sb="0" eb="4">
      <t>タイショクリユウ</t>
    </rPh>
    <rPh sb="5" eb="7">
      <t>ゴウケイ</t>
    </rPh>
    <phoneticPr fontId="1"/>
  </si>
  <si>
    <t>准看護師</t>
    <rPh sb="0" eb="1">
      <t>ジュン</t>
    </rPh>
    <rPh sb="1" eb="4">
      <t>カンゴシ</t>
    </rPh>
    <phoneticPr fontId="1"/>
  </si>
  <si>
    <t>新卒採用者（正規）</t>
    <rPh sb="0" eb="2">
      <t>シンソツ</t>
    </rPh>
    <rPh sb="2" eb="5">
      <t>サイヨウシャ</t>
    </rPh>
    <rPh sb="6" eb="8">
      <t>セイキ</t>
    </rPh>
    <phoneticPr fontId="1"/>
  </si>
  <si>
    <r>
      <t>自分の</t>
    </r>
    <r>
      <rPr>
        <u/>
        <sz val="9"/>
        <rFont val="ＭＳ Ｐゴシック"/>
        <family val="3"/>
        <charset val="128"/>
      </rPr>
      <t>能力</t>
    </r>
    <r>
      <rPr>
        <u/>
        <vertAlign val="superscript"/>
        <sz val="9"/>
        <rFont val="ＭＳ Ｐゴシック"/>
        <family val="3"/>
        <charset val="128"/>
      </rPr>
      <t>※2</t>
    </r>
    <r>
      <rPr>
        <sz val="9"/>
        <rFont val="ＭＳ Ｐゴシック"/>
        <family val="3"/>
        <charset val="128"/>
      </rPr>
      <t>への不安</t>
    </r>
    <rPh sb="0" eb="2">
      <t>ジブン</t>
    </rPh>
    <rPh sb="3" eb="5">
      <t>ノウリョク</t>
    </rPh>
    <rPh sb="9" eb="11">
      <t>フアン</t>
    </rPh>
    <phoneticPr fontId="1"/>
  </si>
  <si>
    <t>新卒者の教育背景※3</t>
    <rPh sb="0" eb="2">
      <t>シンソツ</t>
    </rPh>
    <rPh sb="2" eb="3">
      <t>シャ</t>
    </rPh>
    <rPh sb="4" eb="8">
      <t>キョウイクハイケイ</t>
    </rPh>
    <phoneticPr fontId="1"/>
  </si>
  <si>
    <t>※3　新卒者の教育背景とは、免許を取得した養成施設</t>
    <rPh sb="3" eb="6">
      <t>シンソツシャ</t>
    </rPh>
    <rPh sb="7" eb="11">
      <t>キョウイクハイケイ</t>
    </rPh>
    <rPh sb="14" eb="16">
      <t>メンキョ</t>
    </rPh>
    <rPh sb="17" eb="19">
      <t>シュトク</t>
    </rPh>
    <rPh sb="21" eb="25">
      <t>ヨウセイシセツ</t>
    </rPh>
    <phoneticPr fontId="1"/>
  </si>
  <si>
    <t>助産養成・別科</t>
    <rPh sb="0" eb="2">
      <t>ジョサン</t>
    </rPh>
    <rPh sb="2" eb="4">
      <t>ヨウセイ</t>
    </rPh>
    <rPh sb="5" eb="7">
      <t>ベッカ</t>
    </rPh>
    <phoneticPr fontId="1"/>
  </si>
  <si>
    <t>助産師養成等（別科含）</t>
    <rPh sb="0" eb="3">
      <t>ジョサンシ</t>
    </rPh>
    <rPh sb="3" eb="5">
      <t>ヨウセイ</t>
    </rPh>
    <rPh sb="5" eb="6">
      <t>トウ</t>
    </rPh>
    <rPh sb="7" eb="9">
      <t>ベッカ</t>
    </rPh>
    <rPh sb="9" eb="10">
      <t>フク</t>
    </rPh>
    <phoneticPr fontId="1"/>
  </si>
  <si>
    <t>准看養成所</t>
    <rPh sb="0" eb="2">
      <t>ジュンカン</t>
    </rPh>
    <rPh sb="2" eb="5">
      <t>ヨウセイショ</t>
    </rPh>
    <phoneticPr fontId="1"/>
  </si>
  <si>
    <t>新卒採用者（非正規）</t>
    <rPh sb="0" eb="2">
      <t>シンソツ</t>
    </rPh>
    <rPh sb="2" eb="5">
      <t>サイヨウシャ</t>
    </rPh>
    <rPh sb="6" eb="7">
      <t>ヒ</t>
    </rPh>
    <rPh sb="7" eb="9">
      <t>セイキ</t>
    </rPh>
    <phoneticPr fontId="1"/>
  </si>
  <si>
    <t>新卒採用者（合計）</t>
    <rPh sb="0" eb="2">
      <t>シンソツ</t>
    </rPh>
    <rPh sb="2" eb="5">
      <t>サイヨウシャ</t>
    </rPh>
    <rPh sb="6" eb="8">
      <t>ゴウケイ</t>
    </rPh>
    <phoneticPr fontId="1"/>
  </si>
  <si>
    <t>B課程人数</t>
    <rPh sb="1" eb="3">
      <t>カテイ</t>
    </rPh>
    <rPh sb="3" eb="5">
      <t>ニンズウ</t>
    </rPh>
    <phoneticPr fontId="1"/>
  </si>
  <si>
    <t>（１）事業所（ステーション）名、調査票記入者の氏名、役職等を記入してください。</t>
    <rPh sb="3" eb="6">
      <t>ジギョウショ</t>
    </rPh>
    <rPh sb="14" eb="15">
      <t>メイ</t>
    </rPh>
    <rPh sb="16" eb="19">
      <t>チョウサヒョウ</t>
    </rPh>
    <rPh sb="19" eb="22">
      <t>キニュウシャ</t>
    </rPh>
    <rPh sb="23" eb="25">
      <t>シメイ</t>
    </rPh>
    <rPh sb="26" eb="29">
      <t>ヤクショクナド</t>
    </rPh>
    <rPh sb="30" eb="32">
      <t>キニュウ</t>
    </rPh>
    <phoneticPr fontId="1"/>
  </si>
  <si>
    <t>事業所名（法人名等不要）</t>
    <rPh sb="0" eb="3">
      <t>ジギョウショ</t>
    </rPh>
    <rPh sb="3" eb="4">
      <t>メイ</t>
    </rPh>
    <rPh sb="5" eb="8">
      <t>ホウジンメイ</t>
    </rPh>
    <rPh sb="8" eb="9">
      <t>ナド</t>
    </rPh>
    <rPh sb="9" eb="11">
      <t>フヨウ</t>
    </rPh>
    <phoneticPr fontId="1"/>
  </si>
  <si>
    <t>平成</t>
    <rPh sb="0" eb="2">
      <t>ヘイセイ</t>
    </rPh>
    <phoneticPr fontId="1"/>
  </si>
  <si>
    <t>令和</t>
    <rPh sb="0" eb="2">
      <t>レイワ</t>
    </rPh>
    <phoneticPr fontId="1"/>
  </si>
  <si>
    <t>年号</t>
    <rPh sb="0" eb="2">
      <t>ネンゴウ</t>
    </rPh>
    <phoneticPr fontId="1"/>
  </si>
  <si>
    <t>クリック</t>
    <phoneticPr fontId="1"/>
  </si>
  <si>
    <t>月</t>
    <rPh sb="0" eb="1">
      <t>ツキ</t>
    </rPh>
    <phoneticPr fontId="1"/>
  </si>
  <si>
    <t>5　管理</t>
    <rPh sb="2" eb="4">
      <t>カンリ</t>
    </rPh>
    <phoneticPr fontId="1"/>
  </si>
  <si>
    <t>認定看護管理者</t>
    <rPh sb="0" eb="7">
      <t>ニンテイカンゴカンリシャ</t>
    </rPh>
    <phoneticPr fontId="1"/>
  </si>
  <si>
    <t>6　24時間対応体制</t>
    <rPh sb="4" eb="10">
      <t>ジカンタイオウタイセイ</t>
    </rPh>
    <phoneticPr fontId="1"/>
  </si>
  <si>
    <t>体制あり</t>
    <rPh sb="0" eb="2">
      <t>タイセイ</t>
    </rPh>
    <phoneticPr fontId="1"/>
  </si>
  <si>
    <t>体制なし</t>
    <rPh sb="0" eb="2">
      <t>タイセイ</t>
    </rPh>
    <phoneticPr fontId="1"/>
  </si>
  <si>
    <t>対応の有無</t>
    <rPh sb="0" eb="2">
      <t>タイオウ</t>
    </rPh>
    <rPh sb="3" eb="5">
      <t>ウム</t>
    </rPh>
    <phoneticPr fontId="1"/>
  </si>
  <si>
    <t>方法</t>
    <rPh sb="0" eb="2">
      <t>ホウホウ</t>
    </rPh>
    <phoneticPr fontId="1"/>
  </si>
  <si>
    <t>電話</t>
    <rPh sb="0" eb="2">
      <t>デンワ</t>
    </rPh>
    <phoneticPr fontId="1"/>
  </si>
  <si>
    <t>訪問</t>
    <rPh sb="0" eb="2">
      <t>ホウモン</t>
    </rPh>
    <phoneticPr fontId="1"/>
  </si>
  <si>
    <t>その他</t>
    <rPh sb="2" eb="3">
      <t>タ</t>
    </rPh>
    <phoneticPr fontId="1"/>
  </si>
  <si>
    <t>内容</t>
    <rPh sb="0" eb="2">
      <t>ナイヨウ</t>
    </rPh>
    <phoneticPr fontId="1"/>
  </si>
  <si>
    <t>実績</t>
    <rPh sb="0" eb="2">
      <t>ジッセキ</t>
    </rPh>
    <phoneticPr fontId="1"/>
  </si>
  <si>
    <t>有</t>
    <rPh sb="0" eb="1">
      <t>アリ</t>
    </rPh>
    <phoneticPr fontId="1"/>
  </si>
  <si>
    <t>無</t>
    <rPh sb="0" eb="1">
      <t>ナシ</t>
    </rPh>
    <phoneticPr fontId="1"/>
  </si>
  <si>
    <r>
      <t>（４）</t>
    </r>
    <r>
      <rPr>
        <b/>
        <u/>
        <sz val="11"/>
        <color theme="1"/>
        <rFont val="ＭＳ Ｐゴシック"/>
        <family val="3"/>
        <charset val="128"/>
      </rPr>
      <t>令和６年４月１日現在の看護職員数</t>
    </r>
    <r>
      <rPr>
        <b/>
        <sz val="11"/>
        <color theme="1"/>
        <rFont val="ＭＳ Ｐゴシック"/>
        <family val="3"/>
        <charset val="128"/>
      </rPr>
      <t>（令和６年４月１日付の採用者除く）を記入してください。</t>
    </r>
    <rPh sb="3" eb="5">
      <t>レイワ</t>
    </rPh>
    <rPh sb="6" eb="7">
      <t>ネン</t>
    </rPh>
    <rPh sb="8" eb="9">
      <t>ガツ</t>
    </rPh>
    <rPh sb="10" eb="13">
      <t>ニチゲンザイ</t>
    </rPh>
    <rPh sb="14" eb="16">
      <t>カンゴ</t>
    </rPh>
    <rPh sb="16" eb="18">
      <t>ショクイン</t>
    </rPh>
    <rPh sb="18" eb="19">
      <t>スウ</t>
    </rPh>
    <rPh sb="20" eb="22">
      <t>レイワ</t>
    </rPh>
    <rPh sb="23" eb="24">
      <t>ネン</t>
    </rPh>
    <rPh sb="25" eb="26">
      <t>ガツ</t>
    </rPh>
    <rPh sb="27" eb="29">
      <t>ニチヅケ</t>
    </rPh>
    <rPh sb="30" eb="33">
      <t>サイヨウシャ</t>
    </rPh>
    <rPh sb="33" eb="34">
      <t>ノゾ</t>
    </rPh>
    <rPh sb="37" eb="39">
      <t>キニュウ</t>
    </rPh>
    <phoneticPr fontId="1"/>
  </si>
  <si>
    <t>Ｒ６新規開設</t>
    <rPh sb="2" eb="6">
      <t>シンキカイセツ</t>
    </rPh>
    <phoneticPr fontId="1"/>
  </si>
  <si>
    <r>
      <t>（３）</t>
    </r>
    <r>
      <rPr>
        <b/>
        <sz val="11"/>
        <color rgb="FFFF0000"/>
        <rFont val="ＭＳ Ｐゴシック"/>
        <family val="3"/>
        <charset val="128"/>
      </rPr>
      <t>令和６年度</t>
    </r>
    <r>
      <rPr>
        <b/>
        <sz val="11"/>
        <color theme="1"/>
        <rFont val="ＭＳ Ｐゴシック"/>
        <family val="3"/>
        <charset val="128"/>
      </rPr>
      <t>（R6.4.1～R7.3.31）に</t>
    </r>
    <r>
      <rPr>
        <b/>
        <sz val="11"/>
        <color rgb="FFFF0000"/>
        <rFont val="ＭＳ Ｐゴシック"/>
        <family val="3"/>
        <charset val="128"/>
      </rPr>
      <t>新規開設</t>
    </r>
    <r>
      <rPr>
        <b/>
        <sz val="11"/>
        <color theme="1"/>
        <rFont val="ＭＳ Ｐゴシック"/>
        <family val="3"/>
        <charset val="128"/>
      </rPr>
      <t>されましたか。</t>
    </r>
    <rPh sb="25" eb="27">
      <t>シンキ</t>
    </rPh>
    <rPh sb="27" eb="29">
      <t>カイセツ</t>
    </rPh>
    <phoneticPr fontId="1"/>
  </si>
  <si>
    <t>Ｒ６年度に新規開設した</t>
    <rPh sb="2" eb="4">
      <t>ネンド</t>
    </rPh>
    <rPh sb="5" eb="9">
      <t>シンキカイセツ</t>
    </rPh>
    <phoneticPr fontId="1"/>
  </si>
  <si>
    <t>事業所名</t>
    <rPh sb="0" eb="3">
      <t>ジギョウショ</t>
    </rPh>
    <rPh sb="3" eb="4">
      <t>メイ</t>
    </rPh>
    <phoneticPr fontId="1"/>
  </si>
  <si>
    <t>自己都合</t>
    <rPh sb="0" eb="4">
      <t>ジコツゴウ</t>
    </rPh>
    <phoneticPr fontId="1"/>
  </si>
  <si>
    <t>令和　　年　　月　　日</t>
    <rPh sb="0" eb="2">
      <t>レイワ</t>
    </rPh>
    <rPh sb="4" eb="5">
      <t>ネン</t>
    </rPh>
    <rPh sb="7" eb="8">
      <t>ガツ</t>
    </rPh>
    <rPh sb="10" eb="11">
      <t>ニチ</t>
    </rPh>
    <phoneticPr fontId="1"/>
  </si>
  <si>
    <t>自己都合の主な退職理由</t>
    <rPh sb="0" eb="4">
      <t>ジコツゴウ</t>
    </rPh>
    <rPh sb="5" eb="6">
      <t>オモ</t>
    </rPh>
    <rPh sb="7" eb="11">
      <t>タイショクリユウ</t>
    </rPh>
    <phoneticPr fontId="1"/>
  </si>
  <si>
    <r>
      <t>（６）</t>
    </r>
    <r>
      <rPr>
        <b/>
        <sz val="11"/>
        <color rgb="FFFF0000"/>
        <rFont val="ＭＳ Ｐゴシック"/>
        <family val="3"/>
        <charset val="128"/>
      </rPr>
      <t>（４）で「派遣していない」を選択した場合、</t>
    </r>
    <r>
      <rPr>
        <b/>
        <sz val="11"/>
        <color theme="1"/>
        <rFont val="ＭＳ Ｐゴシック"/>
        <family val="3"/>
        <charset val="128"/>
      </rPr>
      <t>その理由について教えてください。（※ 複数回答可）</t>
    </r>
    <rPh sb="8" eb="10">
      <t>ハケン</t>
    </rPh>
    <rPh sb="17" eb="19">
      <t>センタク</t>
    </rPh>
    <rPh sb="21" eb="23">
      <t>バアイ</t>
    </rPh>
    <rPh sb="26" eb="28">
      <t>リユウ</t>
    </rPh>
    <rPh sb="32" eb="33">
      <t>オシ</t>
    </rPh>
    <rPh sb="43" eb="48">
      <t>フクスウカイトウカ</t>
    </rPh>
    <phoneticPr fontId="1"/>
  </si>
  <si>
    <t>（１）専門看護師認定者数を教えてください。</t>
    <rPh sb="3" eb="11">
      <t>センモンカンゴシニンテイシャ</t>
    </rPh>
    <phoneticPr fontId="1"/>
  </si>
  <si>
    <r>
      <t>※それぞれの選択肢は、</t>
    </r>
    <r>
      <rPr>
        <sz val="11"/>
        <color rgb="FFFF0000"/>
        <rFont val="ＭＳ Ｐゴシック"/>
        <family val="3"/>
        <charset val="128"/>
      </rPr>
      <t>右の採用カテゴリーから選択</t>
    </r>
    <r>
      <rPr>
        <sz val="11"/>
        <color theme="1"/>
        <rFont val="ＭＳ Ｐゴシック"/>
        <family val="3"/>
        <charset val="128"/>
      </rPr>
      <t>してください。</t>
    </r>
    <rPh sb="6" eb="9">
      <t>センタクシ</t>
    </rPh>
    <rPh sb="11" eb="12">
      <t>ミギ</t>
    </rPh>
    <rPh sb="13" eb="15">
      <t>サイヨウ</t>
    </rPh>
    <rPh sb="22" eb="24">
      <t>センタク</t>
    </rPh>
    <phoneticPr fontId="1"/>
  </si>
  <si>
    <t>（１）２４時間対応できる体制をとっていますか</t>
    <rPh sb="5" eb="7">
      <t>ジカン</t>
    </rPh>
    <rPh sb="7" eb="9">
      <t>タイオウ</t>
    </rPh>
    <rPh sb="12" eb="14">
      <t>タイセイ</t>
    </rPh>
    <phoneticPr fontId="1"/>
  </si>
  <si>
    <t>（２）（１）で「２４時間対応体制をとっている」を選択した場合、その提供内容を教えてください。（複数回答可）</t>
    <rPh sb="12" eb="14">
      <t>タイオウ</t>
    </rPh>
    <rPh sb="33" eb="37">
      <t>テイキョウナイヨウ</t>
    </rPh>
    <rPh sb="47" eb="51">
      <t>フクスウカイトウ</t>
    </rPh>
    <rPh sb="51" eb="52">
      <t>カ</t>
    </rPh>
    <phoneticPr fontId="1"/>
  </si>
  <si>
    <t>電話相談への対応</t>
    <rPh sb="0" eb="2">
      <t>デンワ</t>
    </rPh>
    <rPh sb="2" eb="4">
      <t>ソウダン</t>
    </rPh>
    <rPh sb="6" eb="8">
      <t>タイオウ</t>
    </rPh>
    <phoneticPr fontId="1"/>
  </si>
  <si>
    <t>必要に応じた緊急時の訪問看護</t>
    <rPh sb="0" eb="2">
      <t>ヒツヨウ</t>
    </rPh>
    <rPh sb="3" eb="4">
      <t>オウ</t>
    </rPh>
    <rPh sb="6" eb="9">
      <t>キンキュウジ</t>
    </rPh>
    <rPh sb="10" eb="12">
      <t>ホウモン</t>
    </rPh>
    <rPh sb="12" eb="14">
      <t>カンゴ</t>
    </rPh>
    <phoneticPr fontId="1"/>
  </si>
  <si>
    <t>（３）（２）で回答いただいた２４時間対応体制の提供内容について、令和６年度（令和６年４月１日～令和７年３月３１日）の実績の有無を教えてください。</t>
    <rPh sb="7" eb="9">
      <t>カイトウ</t>
    </rPh>
    <rPh sb="18" eb="20">
      <t>タイオウ</t>
    </rPh>
    <rPh sb="23" eb="25">
      <t>テイキョウ</t>
    </rPh>
    <rPh sb="25" eb="27">
      <t>ナイヨウ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</si>
</sst>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quot;△ &quot;#,##0.0"/>
    <numFmt numFmtId="177" formatCode="[$-411]ggg\ e\ &quot;年&quot;\ m\ &quot;月&quot;\ d\ &quot;日&quot;;@"/>
    <numFmt numFmtId="178" formatCode="[$-411]ggg\ e\ &quot;年&quot;\ m\ &quot;月&quot;\ d\ &quot;日&quot;\ \(aaa\);@"/>
    <numFmt numFmtId="179" formatCode="#"/>
    <numFmt numFmtId="180" formatCode="0;\-0;;@\ "/>
  </numFmts>
  <fonts count="41">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11"/>
      <color theme="1"/>
      <name val="ＭＳ Ｐゴシック"/>
      <family val="3"/>
      <charset val="128"/>
    </font>
    <font>
      <b/>
      <sz val="16"/>
      <color theme="1"/>
      <name val="ＭＳ Ｐゴシック"/>
      <family val="3"/>
      <charset val="128"/>
    </font>
    <font>
      <b/>
      <sz val="11"/>
      <color theme="1"/>
      <name val="ＭＳ Ｐゴシック"/>
      <family val="3"/>
      <charset val="128"/>
    </font>
    <font>
      <sz val="9"/>
      <color theme="1"/>
      <name val="ＭＳ Ｐゴシック"/>
      <family val="3"/>
      <charset val="128"/>
    </font>
    <font>
      <b/>
      <u/>
      <sz val="11"/>
      <color theme="1"/>
      <name val="ＭＳ Ｐゴシック"/>
      <family val="3"/>
      <charset val="128"/>
    </font>
    <font>
      <sz val="10"/>
      <color theme="1"/>
      <name val="ＭＳ Ｐゴシック"/>
      <family val="3"/>
      <charset val="128"/>
    </font>
    <font>
      <b/>
      <u/>
      <sz val="10"/>
      <color theme="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1"/>
      <color rgb="FFFF0000"/>
      <name val="ＭＳ Ｐゴシック"/>
      <family val="3"/>
      <charset val="128"/>
    </font>
    <font>
      <sz val="14"/>
      <name val="ＭＳ Ｐゴシック"/>
      <family val="3"/>
      <charset val="128"/>
    </font>
    <font>
      <sz val="11"/>
      <name val="ＭＳ ゴシック"/>
      <family val="3"/>
      <charset val="128"/>
    </font>
    <font>
      <sz val="10"/>
      <name val="ＭＳ ゴシック"/>
      <family val="3"/>
      <charset val="128"/>
    </font>
    <font>
      <u/>
      <sz val="11"/>
      <color theme="1"/>
      <name val="ＭＳ Ｐゴシック"/>
      <family val="3"/>
      <charset val="128"/>
    </font>
    <font>
      <sz val="12"/>
      <color theme="1"/>
      <name val="游ゴシック"/>
      <family val="2"/>
      <charset val="128"/>
      <scheme val="minor"/>
    </font>
    <font>
      <u/>
      <sz val="11"/>
      <color theme="10"/>
      <name val="游ゴシック"/>
      <family val="2"/>
      <charset val="128"/>
      <scheme val="minor"/>
    </font>
    <font>
      <u/>
      <sz val="11"/>
      <name val="ＭＳ Ｐゴシック"/>
      <family val="3"/>
      <charset val="128"/>
    </font>
    <font>
      <b/>
      <u/>
      <sz val="11"/>
      <color rgb="FFFF0000"/>
      <name val="ＭＳ Ｐゴシック"/>
      <family val="3"/>
      <charset val="128"/>
    </font>
    <font>
      <sz val="10"/>
      <color rgb="FFFF0000"/>
      <name val="ＭＳ Ｐゴシック"/>
      <family val="3"/>
      <charset val="128"/>
    </font>
    <font>
      <sz val="11"/>
      <color rgb="FFFF0000"/>
      <name val="游ゴシック"/>
      <family val="2"/>
      <charset val="128"/>
      <scheme val="minor"/>
    </font>
    <font>
      <b/>
      <sz val="11"/>
      <color rgb="FFFF0000"/>
      <name val="ＭＳ Ｐゴシック"/>
      <family val="3"/>
      <charset val="128"/>
    </font>
    <font>
      <u/>
      <vertAlign val="superscript"/>
      <sz val="11"/>
      <name val="ＭＳ Ｐゴシック"/>
      <family val="3"/>
      <charset val="128"/>
    </font>
    <font>
      <b/>
      <sz val="11"/>
      <name val="ＭＳ Ｐゴシック"/>
      <family val="3"/>
      <charset val="128"/>
    </font>
    <font>
      <b/>
      <sz val="9"/>
      <color rgb="FFFF0000"/>
      <name val="ＭＳ Ｐゴシック"/>
      <family val="3"/>
      <charset val="128"/>
    </font>
    <font>
      <sz val="9"/>
      <color indexed="81"/>
      <name val="MS P ゴシック"/>
      <family val="3"/>
      <charset val="128"/>
    </font>
    <font>
      <b/>
      <sz val="9"/>
      <color indexed="81"/>
      <name val="MS P ゴシック"/>
      <family val="3"/>
      <charset val="128"/>
    </font>
    <font>
      <sz val="11"/>
      <color rgb="FFFFFF00"/>
      <name val="游ゴシック"/>
      <family val="2"/>
      <charset val="128"/>
      <scheme val="minor"/>
    </font>
    <font>
      <sz val="11"/>
      <color rgb="FFFFFF00"/>
      <name val="HG丸ｺﾞｼｯｸM-PRO"/>
      <family val="3"/>
      <charset val="128"/>
    </font>
    <font>
      <b/>
      <sz val="11"/>
      <color rgb="FFFF0000"/>
      <name val="HG丸ｺﾞｼｯｸM-PRO"/>
      <family val="3"/>
      <charset val="128"/>
    </font>
    <font>
      <sz val="11"/>
      <color rgb="FFFF0000"/>
      <name val="HG丸ｺﾞｼｯｸM-PRO"/>
      <family val="3"/>
      <charset val="128"/>
    </font>
    <font>
      <u/>
      <sz val="11"/>
      <color rgb="FFFF0000"/>
      <name val="HG丸ｺﾞｼｯｸM-PRO"/>
      <family val="3"/>
      <charset val="128"/>
    </font>
    <font>
      <u/>
      <vertAlign val="superscript"/>
      <sz val="11"/>
      <color rgb="FFFF0000"/>
      <name val="HG丸ｺﾞｼｯｸM-PRO"/>
      <family val="3"/>
      <charset val="128"/>
    </font>
    <font>
      <sz val="10"/>
      <color rgb="FFFF0000"/>
      <name val="HG丸ｺﾞｼｯｸM-PRO"/>
      <family val="3"/>
      <charset val="128"/>
    </font>
    <font>
      <sz val="11"/>
      <color theme="1"/>
      <name val="HG丸ｺﾞｼｯｸM-PRO"/>
      <family val="3"/>
      <charset val="128"/>
    </font>
    <font>
      <u/>
      <sz val="9"/>
      <name val="ＭＳ Ｐゴシック"/>
      <family val="3"/>
      <charset val="128"/>
    </font>
    <font>
      <u/>
      <vertAlign val="superscript"/>
      <sz val="9"/>
      <name val="ＭＳ Ｐゴシック"/>
      <family val="3"/>
      <charset val="128"/>
    </font>
    <font>
      <sz val="9"/>
      <name val="ＭＳ Ｐゴシック"/>
      <family val="3"/>
      <charset val="128"/>
    </font>
  </fonts>
  <fills count="12">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0"/>
        <bgColor indexed="64"/>
      </patternFill>
    </fill>
    <fill>
      <patternFill patternType="solid">
        <fgColor rgb="FFFFFF99"/>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C000"/>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CCFFCC"/>
        <bgColor indexed="64"/>
      </patternFill>
    </fill>
  </fills>
  <borders count="1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thin">
        <color indexed="64"/>
      </top>
      <bottom style="medium">
        <color indexed="64"/>
      </bottom>
      <diagonal style="dotted">
        <color indexed="64"/>
      </diagonal>
    </border>
    <border diagonalUp="1">
      <left style="thin">
        <color indexed="64"/>
      </left>
      <right style="medium">
        <color indexed="64"/>
      </right>
      <top style="thin">
        <color indexed="64"/>
      </top>
      <bottom style="medium">
        <color indexed="64"/>
      </bottom>
      <diagonal style="dotted">
        <color indexed="64"/>
      </diagonal>
    </border>
    <border diagonalUp="1">
      <left style="thin">
        <color indexed="64"/>
      </left>
      <right/>
      <top style="thin">
        <color indexed="64"/>
      </top>
      <bottom style="medium">
        <color indexed="64"/>
      </bottom>
      <diagonal style="dotted">
        <color indexed="64"/>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diagonal/>
    </border>
    <border>
      <left style="double">
        <color indexed="64"/>
      </left>
      <right/>
      <top style="medium">
        <color indexed="64"/>
      </top>
      <bottom style="thin">
        <color indexed="64"/>
      </bottom>
      <diagonal/>
    </border>
    <border>
      <left style="double">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dotted">
        <color indexed="64"/>
      </right>
      <top style="thin">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double">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top style="thin">
        <color indexed="64"/>
      </top>
      <bottom style="double">
        <color indexed="64"/>
      </bottom>
      <diagonal/>
    </border>
    <border>
      <left style="double">
        <color indexed="64"/>
      </left>
      <right/>
      <top style="thin">
        <color indexed="64"/>
      </top>
      <bottom style="thin">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style="double">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diagonalUp="1">
      <left/>
      <right/>
      <top style="thin">
        <color indexed="64"/>
      </top>
      <bottom style="medium">
        <color indexed="64"/>
      </bottom>
      <diagonal style="dotted">
        <color indexed="64"/>
      </diagonal>
    </border>
    <border diagonalUp="1">
      <left/>
      <right style="thin">
        <color indexed="64"/>
      </right>
      <top style="thin">
        <color indexed="64"/>
      </top>
      <bottom style="medium">
        <color indexed="64"/>
      </bottom>
      <diagonal style="dotted">
        <color indexed="64"/>
      </diagonal>
    </border>
    <border>
      <left style="medium">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double">
        <color indexed="64"/>
      </left>
      <right style="dotted">
        <color indexed="64"/>
      </right>
      <top style="thin">
        <color indexed="64"/>
      </top>
      <bottom style="thin">
        <color indexed="64"/>
      </bottom>
      <diagonal/>
    </border>
    <border>
      <left style="dotted">
        <color indexed="64"/>
      </left>
      <right style="double">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double">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style="medium">
        <color indexed="64"/>
      </left>
      <right/>
      <top style="thin">
        <color indexed="64"/>
      </top>
      <bottom/>
      <diagonal/>
    </border>
    <border>
      <left/>
      <right style="medium">
        <color indexed="64"/>
      </right>
      <top/>
      <bottom style="medium">
        <color indexed="64"/>
      </bottom>
      <diagonal/>
    </border>
    <border>
      <left/>
      <right style="medium">
        <color indexed="64"/>
      </right>
      <top style="medium">
        <color indexed="64"/>
      </top>
      <bottom/>
      <diagonal/>
    </border>
    <border diagonalUp="1">
      <left style="double">
        <color indexed="64"/>
      </left>
      <right/>
      <top style="thin">
        <color indexed="64"/>
      </top>
      <bottom/>
      <diagonal style="dotted">
        <color indexed="64"/>
      </diagonal>
    </border>
    <border diagonalUp="1">
      <left/>
      <right/>
      <top style="thin">
        <color indexed="64"/>
      </top>
      <bottom/>
      <diagonal style="dotted">
        <color indexed="64"/>
      </diagonal>
    </border>
    <border diagonalUp="1">
      <left/>
      <right style="thin">
        <color indexed="64"/>
      </right>
      <top style="thin">
        <color indexed="64"/>
      </top>
      <bottom/>
      <diagonal style="dotted">
        <color indexed="64"/>
      </diagonal>
    </border>
    <border diagonalUp="1">
      <left style="thin">
        <color indexed="64"/>
      </left>
      <right style="thin">
        <color indexed="64"/>
      </right>
      <top style="thin">
        <color indexed="64"/>
      </top>
      <bottom/>
      <diagonal style="dotted">
        <color indexed="64"/>
      </diagonal>
    </border>
    <border diagonalUp="1">
      <left style="double">
        <color indexed="64"/>
      </left>
      <right/>
      <top/>
      <bottom style="medium">
        <color indexed="64"/>
      </bottom>
      <diagonal style="dotted">
        <color indexed="64"/>
      </diagonal>
    </border>
    <border diagonalUp="1">
      <left/>
      <right/>
      <top/>
      <bottom style="medium">
        <color indexed="64"/>
      </bottom>
      <diagonal style="dotted">
        <color indexed="64"/>
      </diagonal>
    </border>
    <border diagonalUp="1">
      <left/>
      <right style="thin">
        <color indexed="64"/>
      </right>
      <top/>
      <bottom style="medium">
        <color indexed="64"/>
      </bottom>
      <diagonal style="dotted">
        <color indexed="64"/>
      </diagonal>
    </border>
    <border diagonalUp="1">
      <left style="thin">
        <color indexed="64"/>
      </left>
      <right style="thin">
        <color indexed="64"/>
      </right>
      <top/>
      <bottom style="medium">
        <color indexed="64"/>
      </bottom>
      <diagonal style="dotted">
        <color indexed="64"/>
      </diagonal>
    </border>
    <border>
      <left/>
      <right style="double">
        <color indexed="64"/>
      </right>
      <top style="thin">
        <color indexed="64"/>
      </top>
      <bottom style="medium">
        <color indexed="64"/>
      </bottom>
      <diagonal/>
    </border>
    <border>
      <left/>
      <right style="medium">
        <color indexed="64"/>
      </right>
      <top style="thin">
        <color indexed="64"/>
      </top>
      <bottom/>
      <diagonal/>
    </border>
    <border diagonalDown="1">
      <left style="thin">
        <color indexed="64"/>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right style="double">
        <color indexed="64"/>
      </right>
      <top style="thin">
        <color indexed="64"/>
      </top>
      <bottom style="thin">
        <color indexed="64"/>
      </bottom>
      <diagonal/>
    </border>
    <border>
      <left style="double">
        <color indexed="64"/>
      </left>
      <right/>
      <top/>
      <bottom style="medium">
        <color indexed="64"/>
      </bottom>
      <diagonal/>
    </border>
    <border diagonalDown="1">
      <left style="thin">
        <color indexed="64"/>
      </left>
      <right/>
      <top style="medium">
        <color indexed="64"/>
      </top>
      <bottom/>
      <diagonal style="thin">
        <color indexed="64"/>
      </diagonal>
    </border>
    <border diagonalDown="1">
      <left/>
      <right style="thin">
        <color indexed="64"/>
      </right>
      <top style="medium">
        <color indexed="64"/>
      </top>
      <bottom/>
      <diagonal style="thin">
        <color indexed="64"/>
      </diagonal>
    </border>
    <border>
      <left/>
      <right style="double">
        <color indexed="64"/>
      </right>
      <top style="medium">
        <color indexed="64"/>
      </top>
      <bottom style="thin">
        <color indexed="64"/>
      </bottom>
      <diagonal/>
    </border>
    <border>
      <left/>
      <right style="dotted">
        <color indexed="64"/>
      </right>
      <top/>
      <bottom/>
      <diagonal/>
    </border>
    <border>
      <left style="thin">
        <color indexed="64"/>
      </left>
      <right/>
      <top style="medium">
        <color indexed="64"/>
      </top>
      <bottom style="medium">
        <color indexed="64"/>
      </bottom>
      <diagonal/>
    </border>
  </borders>
  <cellStyleXfs count="3">
    <xf numFmtId="0" fontId="0" fillId="0" borderId="0">
      <alignment vertical="center"/>
    </xf>
    <xf numFmtId="0" fontId="10" fillId="0" borderId="0"/>
    <xf numFmtId="0" fontId="19" fillId="0" borderId="0" applyNumberFormat="0" applyFill="0" applyBorder="0" applyAlignment="0" applyProtection="0">
      <alignment vertical="center"/>
    </xf>
  </cellStyleXfs>
  <cellXfs count="791">
    <xf numFmtId="0" fontId="0" fillId="0" borderId="0" xfId="0">
      <alignment vertical="center"/>
    </xf>
    <xf numFmtId="0" fontId="0" fillId="0" borderId="0" xfId="0" applyBorder="1">
      <alignment vertical="center"/>
    </xf>
    <xf numFmtId="0" fontId="2" fillId="0" borderId="0" xfId="0" applyFont="1">
      <alignment vertical="center"/>
    </xf>
    <xf numFmtId="0" fontId="3" fillId="0" borderId="0" xfId="0" applyFont="1">
      <alignment vertical="center"/>
    </xf>
    <xf numFmtId="0" fontId="5" fillId="2" borderId="0" xfId="0" applyFont="1" applyFill="1">
      <alignment vertical="center"/>
    </xf>
    <xf numFmtId="0" fontId="5" fillId="0" borderId="0" xfId="0" applyFont="1">
      <alignment vertical="center"/>
    </xf>
    <xf numFmtId="0" fontId="3" fillId="0" borderId="0" xfId="0" applyFont="1" applyBorder="1">
      <alignment vertical="center"/>
    </xf>
    <xf numFmtId="0" fontId="3" fillId="0" borderId="0" xfId="0" applyFont="1" applyBorder="1" applyAlignment="1">
      <alignment horizontal="left" vertical="center"/>
    </xf>
    <xf numFmtId="0" fontId="8" fillId="0" borderId="0" xfId="0" applyFont="1" applyBorder="1" applyAlignment="1">
      <alignment vertical="center"/>
    </xf>
    <xf numFmtId="0" fontId="8" fillId="0" borderId="0" xfId="0" applyFont="1" applyBorder="1">
      <alignment vertical="center"/>
    </xf>
    <xf numFmtId="0" fontId="8" fillId="0" borderId="0" xfId="0" applyFont="1">
      <alignment vertical="center"/>
    </xf>
    <xf numFmtId="0" fontId="3" fillId="0" borderId="0" xfId="0" applyFont="1" applyAlignment="1">
      <alignment vertical="center"/>
    </xf>
    <xf numFmtId="0" fontId="8" fillId="0" borderId="52" xfId="0" applyFont="1" applyBorder="1">
      <alignment vertical="center"/>
    </xf>
    <xf numFmtId="0" fontId="3" fillId="4" borderId="19" xfId="0" applyFont="1" applyFill="1" applyBorder="1" applyAlignment="1">
      <alignment horizontal="center" vertical="center"/>
    </xf>
    <xf numFmtId="0" fontId="8" fillId="0" borderId="52" xfId="0" applyFont="1" applyBorder="1" applyAlignment="1">
      <alignment vertical="center"/>
    </xf>
    <xf numFmtId="0" fontId="8" fillId="0" borderId="53" xfId="0" applyFont="1" applyBorder="1">
      <alignment vertical="center"/>
    </xf>
    <xf numFmtId="0" fontId="3" fillId="4" borderId="11" xfId="0" applyFont="1" applyFill="1" applyBorder="1" applyAlignment="1">
      <alignment vertical="center"/>
    </xf>
    <xf numFmtId="0" fontId="3" fillId="4" borderId="12" xfId="0" applyFont="1" applyFill="1" applyBorder="1" applyAlignment="1">
      <alignment vertical="center"/>
    </xf>
    <xf numFmtId="0" fontId="4" fillId="0" borderId="0" xfId="0" applyFont="1" applyAlignment="1">
      <alignment horizontal="center" vertical="center"/>
    </xf>
    <xf numFmtId="0" fontId="3" fillId="0" borderId="0" xfId="0" applyFont="1" applyBorder="1" applyAlignment="1">
      <alignment horizontal="center" vertical="center"/>
    </xf>
    <xf numFmtId="0" fontId="5" fillId="0" borderId="0" xfId="0" applyFont="1" applyBorder="1" applyAlignment="1">
      <alignment horizontal="left" vertical="center"/>
    </xf>
    <xf numFmtId="0" fontId="8" fillId="0" borderId="0" xfId="0" applyFont="1" applyBorder="1" applyAlignment="1">
      <alignment horizontal="left" vertical="center"/>
    </xf>
    <xf numFmtId="0" fontId="3" fillId="0" borderId="0" xfId="0" applyFont="1" applyBorder="1" applyAlignment="1">
      <alignment vertical="center"/>
    </xf>
    <xf numFmtId="0" fontId="3" fillId="0" borderId="19" xfId="0" applyFont="1" applyBorder="1" applyAlignment="1">
      <alignment horizontal="center" vertical="center"/>
    </xf>
    <xf numFmtId="0" fontId="3" fillId="0" borderId="0" xfId="0" applyFont="1" applyBorder="1" applyAlignment="1">
      <alignment horizontal="center" vertical="center"/>
    </xf>
    <xf numFmtId="0" fontId="4" fillId="0" borderId="0" xfId="0" applyFont="1" applyAlignment="1">
      <alignment horizontal="center" vertical="center"/>
    </xf>
    <xf numFmtId="0" fontId="3" fillId="0" borderId="0"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8" fillId="0" borderId="1" xfId="0" applyFont="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8" fillId="7" borderId="1" xfId="0" applyFont="1" applyFill="1" applyBorder="1" applyAlignment="1">
      <alignment horizontal="center" vertical="center"/>
    </xf>
    <xf numFmtId="0" fontId="8" fillId="7" borderId="1" xfId="0" applyFont="1" applyFill="1" applyBorder="1" applyAlignment="1">
      <alignment horizontal="center" vertical="center" wrapText="1"/>
    </xf>
    <xf numFmtId="0" fontId="11" fillId="0" borderId="0" xfId="1" applyFont="1" applyAlignment="1">
      <alignment vertical="center"/>
    </xf>
    <xf numFmtId="0" fontId="11" fillId="0" borderId="0" xfId="1" applyFont="1" applyAlignment="1">
      <alignment horizontal="center" vertical="center"/>
    </xf>
    <xf numFmtId="176" fontId="11" fillId="0" borderId="0" xfId="1" applyNumberFormat="1" applyFont="1" applyAlignment="1">
      <alignment horizontal="center" vertical="center"/>
    </xf>
    <xf numFmtId="0" fontId="3" fillId="0" borderId="0" xfId="0" applyFont="1" applyBorder="1" applyAlignment="1">
      <alignment horizontal="center" vertical="center"/>
    </xf>
    <xf numFmtId="0" fontId="8" fillId="7" borderId="1" xfId="0" applyFont="1" applyFill="1" applyBorder="1" applyAlignment="1">
      <alignment horizontal="center" vertical="center" wrapText="1"/>
    </xf>
    <xf numFmtId="0" fontId="3" fillId="0" borderId="0" xfId="0" applyFont="1" applyAlignment="1">
      <alignment horizontal="left" vertical="center"/>
    </xf>
    <xf numFmtId="0" fontId="8" fillId="3" borderId="1" xfId="0" applyFont="1" applyFill="1" applyBorder="1" applyAlignment="1">
      <alignment horizontal="center" vertical="center" wrapText="1"/>
    </xf>
    <xf numFmtId="0" fontId="8" fillId="7" borderId="69" xfId="0" applyFont="1" applyFill="1" applyBorder="1" applyAlignment="1">
      <alignment horizontal="center" vertical="center" wrapText="1"/>
    </xf>
    <xf numFmtId="0" fontId="8" fillId="3" borderId="69" xfId="0" applyFont="1" applyFill="1" applyBorder="1" applyAlignment="1">
      <alignment horizontal="center" vertical="center" wrapText="1"/>
    </xf>
    <xf numFmtId="0" fontId="10" fillId="0" borderId="0" xfId="1" applyFont="1" applyAlignment="1">
      <alignment vertical="center"/>
    </xf>
    <xf numFmtId="0" fontId="10" fillId="0" borderId="35" xfId="1" applyFont="1" applyBorder="1" applyAlignment="1" applyProtection="1">
      <alignment horizontal="center" vertical="center"/>
      <protection hidden="1"/>
    </xf>
    <xf numFmtId="0" fontId="10" fillId="0" borderId="36" xfId="1" applyFont="1" applyBorder="1" applyAlignment="1" applyProtection="1">
      <alignment horizontal="center" vertical="center" wrapText="1"/>
      <protection hidden="1"/>
    </xf>
    <xf numFmtId="0" fontId="10" fillId="0" borderId="36" xfId="1" applyFont="1" applyBorder="1" applyAlignment="1" applyProtection="1">
      <alignment horizontal="center" vertical="center"/>
      <protection locked="0"/>
    </xf>
    <xf numFmtId="0" fontId="10" fillId="0" borderId="36" xfId="1" applyFont="1" applyBorder="1" applyAlignment="1" applyProtection="1">
      <alignment horizontal="center" vertical="center" wrapText="1"/>
      <protection locked="0"/>
    </xf>
    <xf numFmtId="176" fontId="10" fillId="0" borderId="41" xfId="1" applyNumberFormat="1" applyFont="1" applyBorder="1" applyAlignment="1" applyProtection="1">
      <alignment horizontal="center" vertical="center" wrapText="1"/>
      <protection hidden="1"/>
    </xf>
    <xf numFmtId="0" fontId="15" fillId="0" borderId="6" xfId="1" applyFont="1" applyBorder="1" applyAlignment="1" applyProtection="1">
      <alignment horizontal="center" vertical="center" wrapText="1"/>
      <protection hidden="1"/>
    </xf>
    <xf numFmtId="0" fontId="15" fillId="0" borderId="78" xfId="1" applyFont="1" applyBorder="1" applyAlignment="1" applyProtection="1">
      <alignment horizontal="center" vertical="center"/>
      <protection locked="0"/>
    </xf>
    <xf numFmtId="0" fontId="15" fillId="0" borderId="20" xfId="1" applyFont="1" applyBorder="1" applyAlignment="1" applyProtection="1">
      <alignment horizontal="center" vertical="center"/>
      <protection locked="0" hidden="1"/>
    </xf>
    <xf numFmtId="0" fontId="15" fillId="0" borderId="77" xfId="1" applyFont="1" applyBorder="1" applyAlignment="1" applyProtection="1">
      <alignment horizontal="center" vertical="center"/>
      <protection locked="0"/>
    </xf>
    <xf numFmtId="0" fontId="15" fillId="0" borderId="56" xfId="1" applyFont="1" applyBorder="1" applyAlignment="1" applyProtection="1">
      <alignment horizontal="center" vertical="center"/>
      <protection locked="0" hidden="1"/>
    </xf>
    <xf numFmtId="0" fontId="15" fillId="0" borderId="1" xfId="1" applyFont="1" applyBorder="1" applyAlignment="1" applyProtection="1">
      <alignment horizontal="center" vertical="center"/>
      <protection locked="0" hidden="1"/>
    </xf>
    <xf numFmtId="0" fontId="15" fillId="0" borderId="2" xfId="1" applyFont="1" applyBorder="1" applyAlignment="1" applyProtection="1">
      <alignment horizontal="center" vertical="center"/>
      <protection locked="0" hidden="1"/>
    </xf>
    <xf numFmtId="0" fontId="10" fillId="0" borderId="0" xfId="1" applyFont="1" applyAlignment="1">
      <alignment horizontal="center" vertical="center"/>
    </xf>
    <xf numFmtId="176" fontId="10" fillId="0" borderId="0" xfId="1" applyNumberFormat="1" applyFont="1" applyAlignment="1">
      <alignment horizontal="center" vertical="center"/>
    </xf>
    <xf numFmtId="176" fontId="15" fillId="8" borderId="14" xfId="1" applyNumberFormat="1" applyFont="1" applyFill="1" applyBorder="1" applyAlignment="1" applyProtection="1">
      <alignment horizontal="center" vertical="center"/>
      <protection hidden="1"/>
    </xf>
    <xf numFmtId="176" fontId="15" fillId="5" borderId="18" xfId="1" applyNumberFormat="1" applyFont="1" applyFill="1" applyBorder="1" applyAlignment="1" applyProtection="1">
      <alignment horizontal="center" vertical="center"/>
      <protection hidden="1"/>
    </xf>
    <xf numFmtId="176" fontId="15" fillId="5" borderId="7" xfId="1" applyNumberFormat="1" applyFont="1" applyFill="1" applyBorder="1" applyAlignment="1" applyProtection="1">
      <alignment horizontal="center" vertical="center"/>
      <protection hidden="1"/>
    </xf>
    <xf numFmtId="176" fontId="15" fillId="5" borderId="38" xfId="1" applyNumberFormat="1" applyFont="1" applyFill="1" applyBorder="1" applyAlignment="1" applyProtection="1">
      <alignment horizontal="center" vertical="center"/>
      <protection hidden="1"/>
    </xf>
    <xf numFmtId="0" fontId="3" fillId="0" borderId="0" xfId="0" applyFont="1" applyBorder="1" applyAlignment="1">
      <alignment horizontal="center" vertical="center"/>
    </xf>
    <xf numFmtId="0" fontId="18" fillId="0" borderId="0" xfId="0" applyFont="1">
      <alignment vertical="center"/>
    </xf>
    <xf numFmtId="0" fontId="0" fillId="0" borderId="0" xfId="0" applyFont="1">
      <alignment vertical="center"/>
    </xf>
    <xf numFmtId="0" fontId="19" fillId="0" borderId="0" xfId="2" applyFont="1" applyAlignment="1">
      <alignment vertical="center"/>
    </xf>
    <xf numFmtId="0" fontId="3" fillId="0" borderId="0" xfId="0" applyFont="1" applyBorder="1" applyAlignment="1">
      <alignment horizontal="center" vertical="center"/>
    </xf>
    <xf numFmtId="0" fontId="5" fillId="0" borderId="0" xfId="0" applyFont="1" applyBorder="1" applyAlignment="1">
      <alignment horizontal="left" vertical="center"/>
    </xf>
    <xf numFmtId="0" fontId="3" fillId="0" borderId="0" xfId="0" applyFont="1" applyBorder="1" applyAlignment="1">
      <alignment horizontal="center" vertical="center"/>
    </xf>
    <xf numFmtId="0" fontId="5" fillId="0" borderId="0" xfId="0" applyFont="1" applyBorder="1" applyAlignment="1">
      <alignment horizontal="left" vertical="center"/>
    </xf>
    <xf numFmtId="0" fontId="8" fillId="0" borderId="51" xfId="0" applyFont="1" applyBorder="1" applyAlignment="1">
      <alignment vertical="center"/>
    </xf>
    <xf numFmtId="0" fontId="8" fillId="0" borderId="0" xfId="0" applyFont="1" applyFill="1" applyBorder="1" applyAlignment="1">
      <alignment horizontal="left" vertical="center"/>
    </xf>
    <xf numFmtId="0" fontId="8" fillId="0" borderId="0" xfId="0" applyFont="1" applyFill="1" applyBorder="1" applyAlignment="1">
      <alignment vertical="center"/>
    </xf>
    <xf numFmtId="0" fontId="8" fillId="0" borderId="0" xfId="0" applyFont="1" applyFill="1" applyAlignment="1">
      <alignment horizontal="center" vertical="center"/>
    </xf>
    <xf numFmtId="0" fontId="8" fillId="0" borderId="0" xfId="0" applyFont="1" applyFill="1">
      <alignment vertical="center"/>
    </xf>
    <xf numFmtId="0" fontId="2" fillId="0" borderId="0" xfId="0" applyFont="1" applyFill="1">
      <alignment vertical="center"/>
    </xf>
    <xf numFmtId="0" fontId="8" fillId="0" borderId="19"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3" fillId="0" borderId="7" xfId="0" applyFont="1" applyBorder="1" applyAlignment="1">
      <alignment vertical="center"/>
    </xf>
    <xf numFmtId="0" fontId="3" fillId="0" borderId="14" xfId="0" applyFont="1" applyBorder="1" applyAlignment="1">
      <alignment vertical="center"/>
    </xf>
    <xf numFmtId="0" fontId="8" fillId="0" borderId="0" xfId="0" applyFont="1" applyFill="1" applyBorder="1">
      <alignment vertical="center"/>
    </xf>
    <xf numFmtId="0" fontId="8" fillId="3" borderId="1" xfId="0" applyFont="1" applyFill="1" applyBorder="1" applyAlignment="1">
      <alignment horizontal="center" vertical="center" wrapText="1"/>
    </xf>
    <xf numFmtId="49" fontId="8" fillId="7" borderId="1" xfId="0" applyNumberFormat="1" applyFont="1" applyFill="1" applyBorder="1" applyAlignment="1">
      <alignment horizontal="center" vertical="center"/>
    </xf>
    <xf numFmtId="49" fontId="0" fillId="0" borderId="0" xfId="0" applyNumberFormat="1">
      <alignment vertical="center"/>
    </xf>
    <xf numFmtId="49" fontId="8" fillId="7" borderId="4" xfId="0" applyNumberFormat="1" applyFont="1" applyFill="1" applyBorder="1" applyAlignment="1">
      <alignment horizontal="center" vertical="center"/>
    </xf>
    <xf numFmtId="0" fontId="8" fillId="3" borderId="1" xfId="0" applyFont="1" applyFill="1" applyBorder="1" applyAlignment="1">
      <alignment vertical="center" wrapText="1"/>
    </xf>
    <xf numFmtId="49" fontId="8" fillId="3" borderId="0" xfId="0" applyNumberFormat="1" applyFont="1" applyFill="1" applyBorder="1" applyAlignment="1">
      <alignment horizontal="center" vertical="center"/>
    </xf>
    <xf numFmtId="49" fontId="8" fillId="3" borderId="37" xfId="0" applyNumberFormat="1" applyFont="1" applyFill="1" applyBorder="1" applyAlignment="1">
      <alignment horizontal="center" vertical="center"/>
    </xf>
    <xf numFmtId="0" fontId="8" fillId="3" borderId="2"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0" fillId="3" borderId="1" xfId="0" applyFill="1" applyBorder="1" applyAlignment="1">
      <alignment horizontal="center" vertical="center" wrapText="1"/>
    </xf>
    <xf numFmtId="0" fontId="8" fillId="3" borderId="54" xfId="0" applyFont="1" applyFill="1" applyBorder="1" applyAlignment="1">
      <alignment horizontal="center" vertical="center" wrapText="1"/>
    </xf>
    <xf numFmtId="0" fontId="8" fillId="7" borderId="2" xfId="0" applyFont="1" applyFill="1" applyBorder="1" applyAlignment="1">
      <alignment horizontal="center" vertical="center" wrapText="1"/>
    </xf>
    <xf numFmtId="0" fontId="8" fillId="7" borderId="54" xfId="0" applyFont="1" applyFill="1" applyBorder="1" applyAlignment="1">
      <alignment horizontal="center" vertical="center" wrapText="1"/>
    </xf>
    <xf numFmtId="0" fontId="8" fillId="7" borderId="89" xfId="0" applyFont="1" applyFill="1" applyBorder="1" applyAlignment="1">
      <alignment horizontal="center" vertical="center" wrapText="1"/>
    </xf>
    <xf numFmtId="0" fontId="8" fillId="3" borderId="91" xfId="0" applyFont="1" applyFill="1" applyBorder="1" applyAlignment="1">
      <alignment horizontal="center" vertical="center" wrapText="1"/>
    </xf>
    <xf numFmtId="0" fontId="8" fillId="3" borderId="9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7" borderId="92" xfId="0" applyFont="1" applyFill="1" applyBorder="1" applyAlignment="1">
      <alignment horizontal="center" vertical="center" wrapText="1"/>
    </xf>
    <xf numFmtId="0" fontId="3" fillId="0" borderId="0" xfId="0" applyFont="1" applyFill="1" applyBorder="1" applyAlignment="1">
      <alignment horizontal="left" vertical="center"/>
    </xf>
    <xf numFmtId="0" fontId="8" fillId="3" borderId="2"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22" fillId="0" borderId="0" xfId="0" applyFont="1" applyAlignment="1">
      <alignment vertical="center" wrapText="1"/>
    </xf>
    <xf numFmtId="0" fontId="13" fillId="0" borderId="0" xfId="0" applyFont="1" applyAlignment="1">
      <alignment horizontal="left" vertical="center"/>
    </xf>
    <xf numFmtId="0" fontId="3" fillId="0" borderId="94" xfId="0" applyFont="1" applyBorder="1" applyAlignment="1">
      <alignment horizontal="center" vertical="center"/>
    </xf>
    <xf numFmtId="0" fontId="22" fillId="0" borderId="0" xfId="0" applyFont="1">
      <alignment vertical="center"/>
    </xf>
    <xf numFmtId="0" fontId="3" fillId="3" borderId="5" xfId="0" applyFont="1" applyFill="1" applyBorder="1" applyAlignment="1" applyProtection="1">
      <alignment horizontal="center" vertical="center"/>
      <protection locked="0"/>
    </xf>
    <xf numFmtId="0" fontId="3" fillId="3" borderId="8" xfId="0" applyFont="1" applyFill="1" applyBorder="1" applyAlignment="1" applyProtection="1">
      <alignment horizontal="center" vertical="center"/>
      <protection locked="0"/>
    </xf>
    <xf numFmtId="0" fontId="3" fillId="3" borderId="10" xfId="0" applyFont="1" applyFill="1" applyBorder="1" applyAlignment="1" applyProtection="1">
      <alignment horizontal="center" vertical="center"/>
      <protection locked="0"/>
    </xf>
    <xf numFmtId="0" fontId="8" fillId="3" borderId="1" xfId="0" applyFont="1" applyFill="1" applyBorder="1" applyAlignment="1" applyProtection="1">
      <alignment vertical="center"/>
      <protection locked="0"/>
    </xf>
    <xf numFmtId="0" fontId="8" fillId="3" borderId="11" xfId="0" applyFont="1" applyFill="1" applyBorder="1" applyAlignment="1" applyProtection="1">
      <alignment vertical="center"/>
      <protection locked="0"/>
    </xf>
    <xf numFmtId="0" fontId="8" fillId="3" borderId="2" xfId="0" applyFont="1" applyFill="1" applyBorder="1" applyProtection="1">
      <alignment vertical="center"/>
      <protection locked="0"/>
    </xf>
    <xf numFmtId="0" fontId="8" fillId="3" borderId="1" xfId="0" applyFont="1" applyFill="1" applyBorder="1" applyProtection="1">
      <alignment vertical="center"/>
      <protection locked="0"/>
    </xf>
    <xf numFmtId="0" fontId="8" fillId="3" borderId="18" xfId="0" applyFont="1" applyFill="1" applyBorder="1" applyProtection="1">
      <alignment vertical="center"/>
      <protection locked="0"/>
    </xf>
    <xf numFmtId="0" fontId="8" fillId="3" borderId="18" xfId="0" applyFont="1" applyFill="1" applyBorder="1" applyAlignment="1" applyProtection="1">
      <alignment vertical="center"/>
      <protection locked="0"/>
    </xf>
    <xf numFmtId="0" fontId="8" fillId="3" borderId="41" xfId="0" applyFont="1" applyFill="1" applyBorder="1" applyAlignment="1" applyProtection="1">
      <alignment vertical="center"/>
      <protection locked="0"/>
    </xf>
    <xf numFmtId="0" fontId="3" fillId="3" borderId="27" xfId="0" applyFont="1" applyFill="1" applyBorder="1" applyAlignment="1" applyProtection="1">
      <alignment horizontal="center" vertical="center"/>
      <protection locked="0"/>
    </xf>
    <xf numFmtId="0" fontId="8" fillId="3" borderId="32" xfId="0" applyFont="1" applyFill="1" applyBorder="1" applyAlignment="1" applyProtection="1">
      <alignment vertical="center"/>
      <protection locked="0"/>
    </xf>
    <xf numFmtId="0" fontId="8" fillId="3" borderId="32" xfId="0" applyFont="1" applyFill="1" applyBorder="1" applyAlignment="1" applyProtection="1">
      <alignment horizontal="center" vertical="center"/>
      <protection locked="0"/>
    </xf>
    <xf numFmtId="0" fontId="8" fillId="3" borderId="1"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protection locked="0"/>
    </xf>
    <xf numFmtId="0" fontId="5" fillId="3" borderId="8" xfId="0" applyFont="1" applyFill="1" applyBorder="1" applyAlignment="1" applyProtection="1">
      <alignment horizontal="center" vertical="center"/>
      <protection locked="0"/>
    </xf>
    <xf numFmtId="0" fontId="3" fillId="3" borderId="25" xfId="0" applyFont="1" applyFill="1" applyBorder="1" applyAlignment="1" applyProtection="1">
      <alignment horizontal="center" vertical="center"/>
      <protection locked="0"/>
    </xf>
    <xf numFmtId="0" fontId="8" fillId="0" borderId="23" xfId="0" applyFont="1" applyBorder="1" applyAlignment="1">
      <alignment horizontal="center" vertical="center" wrapText="1"/>
    </xf>
    <xf numFmtId="0" fontId="10" fillId="0" borderId="0" xfId="0" applyFont="1" applyFill="1" applyBorder="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5" fillId="0" borderId="0" xfId="0" applyFont="1" applyBorder="1" applyAlignment="1">
      <alignment horizontal="left" vertical="center"/>
    </xf>
    <xf numFmtId="0" fontId="3" fillId="0" borderId="20" xfId="0" applyFont="1" applyBorder="1" applyAlignment="1">
      <alignment horizontal="center" vertical="center"/>
    </xf>
    <xf numFmtId="0" fontId="3" fillId="0" borderId="0" xfId="0" applyFont="1" applyBorder="1" applyAlignment="1">
      <alignment horizontal="center" vertical="center"/>
    </xf>
    <xf numFmtId="0" fontId="23" fillId="0" borderId="0" xfId="0" applyFont="1">
      <alignment vertical="center"/>
    </xf>
    <xf numFmtId="0" fontId="8" fillId="3" borderId="2" xfId="0" applyFont="1" applyFill="1" applyBorder="1" applyAlignment="1">
      <alignment horizontal="center" vertical="center" wrapText="1"/>
    </xf>
    <xf numFmtId="0" fontId="13" fillId="0" borderId="0" xfId="0" applyFont="1">
      <alignment vertical="center"/>
    </xf>
    <xf numFmtId="0" fontId="5" fillId="0" borderId="67" xfId="0" applyFont="1" applyBorder="1" applyAlignment="1">
      <alignment horizontal="left" vertical="center"/>
    </xf>
    <xf numFmtId="0" fontId="5" fillId="0" borderId="93" xfId="0" applyFont="1" applyBorder="1" applyAlignment="1">
      <alignment horizontal="left" vertical="center"/>
    </xf>
    <xf numFmtId="0" fontId="8" fillId="3" borderId="38" xfId="0" applyFont="1" applyFill="1" applyBorder="1" applyProtection="1">
      <alignment vertical="center"/>
      <protection locked="0"/>
    </xf>
    <xf numFmtId="0" fontId="2" fillId="0" borderId="0" xfId="0" applyFont="1" applyBorder="1">
      <alignment vertical="center"/>
    </xf>
    <xf numFmtId="0" fontId="8" fillId="3" borderId="48" xfId="0" applyFont="1" applyFill="1" applyBorder="1" applyProtection="1">
      <alignment vertical="center"/>
      <protection locked="0"/>
    </xf>
    <xf numFmtId="0" fontId="8" fillId="3" borderId="23" xfId="0" applyFont="1" applyFill="1" applyBorder="1" applyAlignment="1" applyProtection="1">
      <alignment vertical="center"/>
      <protection locked="0"/>
    </xf>
    <xf numFmtId="0" fontId="8" fillId="0" borderId="97" xfId="0" applyFont="1" applyFill="1" applyBorder="1" applyProtection="1">
      <alignment vertical="center"/>
      <protection locked="0"/>
    </xf>
    <xf numFmtId="0" fontId="3" fillId="0" borderId="97" xfId="0" applyFont="1" applyBorder="1" applyAlignment="1">
      <alignment horizontal="center" vertical="center"/>
    </xf>
    <xf numFmtId="0" fontId="5" fillId="10" borderId="0" xfId="0" applyFont="1" applyFill="1" applyAlignment="1">
      <alignment vertical="center"/>
    </xf>
    <xf numFmtId="0" fontId="0" fillId="3" borderId="1" xfId="0" applyFill="1" applyBorder="1" applyAlignment="1">
      <alignment horizontal="center" vertical="center"/>
    </xf>
    <xf numFmtId="0" fontId="5" fillId="0" borderId="0" xfId="0" applyFont="1" applyBorder="1" applyAlignment="1">
      <alignment horizontal="left" vertical="center"/>
    </xf>
    <xf numFmtId="0" fontId="5" fillId="0" borderId="0" xfId="0" applyFont="1" applyBorder="1" applyAlignment="1">
      <alignment horizontal="left" vertical="center" wrapText="1"/>
    </xf>
    <xf numFmtId="0" fontId="3" fillId="0" borderId="21" xfId="0" applyFont="1" applyBorder="1" applyAlignment="1">
      <alignment horizontal="center" vertical="center"/>
    </xf>
    <xf numFmtId="0" fontId="8" fillId="0" borderId="85"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center" vertical="center"/>
    </xf>
    <xf numFmtId="0" fontId="8" fillId="0" borderId="1" xfId="0" applyFont="1" applyBorder="1" applyAlignment="1">
      <alignment horizontal="left" vertical="center"/>
    </xf>
    <xf numFmtId="0" fontId="3" fillId="3" borderId="11" xfId="0" applyFont="1" applyFill="1" applyBorder="1" applyAlignment="1" applyProtection="1">
      <alignment horizontal="center" vertical="center" shrinkToFit="1"/>
      <protection locked="0"/>
    </xf>
    <xf numFmtId="0" fontId="5" fillId="0" borderId="0" xfId="0" applyFont="1" applyBorder="1" applyAlignment="1">
      <alignment horizontal="left" vertical="center"/>
    </xf>
    <xf numFmtId="0" fontId="8" fillId="0" borderId="0" xfId="0" applyFont="1" applyBorder="1" applyAlignment="1">
      <alignment horizontal="center" vertical="center"/>
    </xf>
    <xf numFmtId="0" fontId="3" fillId="0" borderId="0" xfId="0" applyFont="1" applyFill="1" applyBorder="1" applyAlignment="1">
      <alignment horizontal="left" vertical="center" wrapText="1"/>
    </xf>
    <xf numFmtId="0" fontId="3" fillId="0" borderId="0" xfId="0" applyFont="1" applyFill="1" applyBorder="1" applyAlignment="1" applyProtection="1">
      <alignment horizontal="center" vertical="center"/>
      <protection locked="0"/>
    </xf>
    <xf numFmtId="0" fontId="3" fillId="0" borderId="0" xfId="0" applyFont="1" applyFill="1" applyBorder="1" applyAlignment="1" applyProtection="1">
      <alignment vertical="center"/>
      <protection locked="0"/>
    </xf>
    <xf numFmtId="0" fontId="26" fillId="0" borderId="0" xfId="0" applyFont="1">
      <alignment vertical="center"/>
    </xf>
    <xf numFmtId="0" fontId="3" fillId="0" borderId="5" xfId="0" applyFont="1" applyFill="1" applyBorder="1" applyAlignment="1">
      <alignment horizontal="center" vertical="center" wrapText="1"/>
    </xf>
    <xf numFmtId="0" fontId="3" fillId="0" borderId="6" xfId="0" applyFont="1" applyFill="1" applyBorder="1" applyAlignment="1" applyProtection="1">
      <alignment horizontal="centerContinuous" vertical="center"/>
      <protection locked="0"/>
    </xf>
    <xf numFmtId="0" fontId="3" fillId="0" borderId="20" xfId="0" applyFont="1" applyFill="1" applyBorder="1" applyAlignment="1" applyProtection="1">
      <alignment horizontal="centerContinuous" vertical="center"/>
      <protection locked="0"/>
    </xf>
    <xf numFmtId="0" fontId="3" fillId="0" borderId="95" xfId="0" applyFont="1" applyFill="1" applyBorder="1" applyAlignment="1" applyProtection="1">
      <alignment horizontal="centerContinuous" vertical="center"/>
      <protection locked="0"/>
    </xf>
    <xf numFmtId="0" fontId="3" fillId="0" borderId="7" xfId="0" applyFont="1" applyFill="1" applyBorder="1" applyAlignment="1" applyProtection="1">
      <alignment horizontal="centerContinuous" vertical="center"/>
      <protection locked="0"/>
    </xf>
    <xf numFmtId="0" fontId="3" fillId="0" borderId="8"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6" fillId="0" borderId="1" xfId="0" applyFont="1" applyBorder="1" applyAlignment="1">
      <alignment horizontal="center" vertical="center" wrapText="1"/>
    </xf>
    <xf numFmtId="0" fontId="8" fillId="3" borderId="32" xfId="0" applyFont="1" applyFill="1" applyBorder="1" applyAlignment="1">
      <alignment vertical="center"/>
    </xf>
    <xf numFmtId="0" fontId="8" fillId="3" borderId="1" xfId="0" applyFont="1" applyFill="1" applyBorder="1" applyAlignment="1">
      <alignment vertical="center"/>
    </xf>
    <xf numFmtId="0" fontId="8" fillId="3" borderId="11" xfId="0" applyFont="1" applyFill="1" applyBorder="1" applyAlignment="1">
      <alignment vertical="center"/>
    </xf>
    <xf numFmtId="0" fontId="24" fillId="0" borderId="0" xfId="0" applyFont="1">
      <alignment vertical="center"/>
    </xf>
    <xf numFmtId="0" fontId="27" fillId="0" borderId="0" xfId="0" applyFont="1" applyBorder="1" applyAlignment="1">
      <alignment horizontal="left" vertical="center"/>
    </xf>
    <xf numFmtId="0" fontId="0" fillId="0" borderId="0" xfId="0">
      <alignment vertical="center"/>
    </xf>
    <xf numFmtId="0" fontId="3" fillId="0" borderId="0" xfId="0" applyFont="1" applyAlignment="1">
      <alignment horizontal="left" vertical="center"/>
    </xf>
    <xf numFmtId="0" fontId="13" fillId="0" borderId="0" xfId="0" applyFont="1" applyAlignment="1">
      <alignment horizontal="left" vertical="center"/>
    </xf>
    <xf numFmtId="0" fontId="3" fillId="3" borderId="5" xfId="0" applyFont="1" applyFill="1" applyBorder="1" applyAlignment="1" applyProtection="1">
      <alignment horizontal="center" vertical="center"/>
      <protection locked="0"/>
    </xf>
    <xf numFmtId="0" fontId="3" fillId="3" borderId="10" xfId="0" applyFont="1" applyFill="1" applyBorder="1" applyAlignment="1" applyProtection="1">
      <alignment horizontal="center" vertical="center"/>
      <protection locked="0"/>
    </xf>
    <xf numFmtId="0" fontId="10" fillId="0" borderId="10" xfId="0" applyFont="1" applyBorder="1">
      <alignment vertical="center"/>
    </xf>
    <xf numFmtId="0" fontId="10" fillId="0" borderId="12" xfId="0" applyFont="1" applyBorder="1">
      <alignment vertical="center"/>
    </xf>
    <xf numFmtId="0" fontId="10" fillId="0" borderId="28" xfId="0" applyFont="1" applyBorder="1">
      <alignment vertical="center"/>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5" fillId="0" borderId="0" xfId="0" applyFont="1" applyFill="1" applyBorder="1" applyAlignment="1">
      <alignment horizontal="center" vertical="center"/>
    </xf>
    <xf numFmtId="0" fontId="10" fillId="0" borderId="0" xfId="0" applyFont="1" applyBorder="1" applyAlignment="1">
      <alignment horizontal="left" vertical="center"/>
    </xf>
    <xf numFmtId="0" fontId="10" fillId="0" borderId="0" xfId="0" applyFont="1" applyFill="1" applyBorder="1">
      <alignment vertical="center"/>
    </xf>
    <xf numFmtId="0" fontId="26" fillId="0" borderId="0" xfId="0" applyFont="1" applyFill="1" applyBorder="1" applyAlignment="1">
      <alignment horizontal="center" vertical="center" wrapText="1"/>
    </xf>
    <xf numFmtId="0" fontId="26" fillId="0" borderId="0" xfId="0" applyFont="1" applyFill="1" applyBorder="1" applyAlignment="1">
      <alignment horizontal="center" vertical="center"/>
    </xf>
    <xf numFmtId="0" fontId="3" fillId="3" borderId="31" xfId="0" applyFont="1" applyFill="1" applyBorder="1" applyAlignment="1" applyProtection="1">
      <alignment horizontal="center" vertical="center"/>
      <protection locked="0"/>
    </xf>
    <xf numFmtId="0" fontId="3" fillId="3" borderId="82" xfId="0" applyFont="1" applyFill="1" applyBorder="1" applyAlignment="1" applyProtection="1">
      <alignment horizontal="center" vertical="center"/>
      <protection locked="0"/>
    </xf>
    <xf numFmtId="0" fontId="3" fillId="3" borderId="100" xfId="0" applyFont="1" applyFill="1" applyBorder="1" applyAlignment="1" applyProtection="1">
      <alignment horizontal="center" vertical="center"/>
      <protection locked="0"/>
    </xf>
    <xf numFmtId="0" fontId="3" fillId="0" borderId="0" xfId="0" applyFont="1" applyBorder="1" applyAlignment="1">
      <alignment horizontal="left" vertical="center"/>
    </xf>
    <xf numFmtId="0" fontId="26" fillId="3" borderId="1" xfId="0" applyFont="1" applyFill="1" applyBorder="1" applyAlignment="1">
      <alignment horizontal="center" vertical="center" wrapText="1"/>
    </xf>
    <xf numFmtId="0" fontId="26" fillId="3" borderId="18" xfId="0" applyFont="1" applyFill="1" applyBorder="1" applyAlignment="1">
      <alignment horizontal="center" vertical="center"/>
    </xf>
    <xf numFmtId="0" fontId="26" fillId="3" borderId="11" xfId="0" applyFont="1" applyFill="1" applyBorder="1" applyAlignment="1">
      <alignment horizontal="center" vertical="center" wrapText="1"/>
    </xf>
    <xf numFmtId="0" fontId="26" fillId="3" borderId="14"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99" xfId="0" applyFont="1" applyBorder="1" applyAlignment="1">
      <alignment horizontal="left" vertical="center" shrinkToFit="1"/>
    </xf>
    <xf numFmtId="0" fontId="13" fillId="0" borderId="93" xfId="0" applyFont="1" applyBorder="1" applyAlignment="1">
      <alignment horizontal="center" vertical="center"/>
    </xf>
    <xf numFmtId="0" fontId="13" fillId="0" borderId="0" xfId="0" applyFont="1" applyAlignment="1">
      <alignment horizontal="center" vertical="center"/>
    </xf>
    <xf numFmtId="0" fontId="3" fillId="0" borderId="25" xfId="0" applyFont="1" applyFill="1" applyBorder="1" applyAlignment="1">
      <alignment horizontal="center" vertical="center" wrapText="1"/>
    </xf>
    <xf numFmtId="0" fontId="3" fillId="0" borderId="34" xfId="0" applyFont="1" applyFill="1" applyBorder="1" applyAlignment="1" applyProtection="1">
      <alignment horizontal="centerContinuous" vertical="center"/>
      <protection locked="0"/>
    </xf>
    <xf numFmtId="0" fontId="3" fillId="0" borderId="63" xfId="0" applyFont="1" applyFill="1" applyBorder="1" applyAlignment="1" applyProtection="1">
      <alignment horizontal="centerContinuous" vertical="center"/>
      <protection locked="0"/>
    </xf>
    <xf numFmtId="0" fontId="3" fillId="0" borderId="62" xfId="0" applyFont="1" applyFill="1" applyBorder="1" applyAlignment="1" applyProtection="1">
      <alignment horizontal="centerContinuous" vertical="center"/>
      <protection locked="0"/>
    </xf>
    <xf numFmtId="0" fontId="3" fillId="0" borderId="46" xfId="0" applyFont="1" applyFill="1" applyBorder="1" applyAlignment="1" applyProtection="1">
      <alignment horizontal="centerContinuous" vertical="center"/>
      <protection locked="0"/>
    </xf>
    <xf numFmtId="0" fontId="3" fillId="0" borderId="0" xfId="0" applyFont="1" applyFill="1" applyBorder="1" applyAlignment="1">
      <alignment vertical="center" shrinkToFit="1"/>
    </xf>
    <xf numFmtId="0" fontId="3" fillId="0" borderId="0" xfId="0" applyFont="1" applyFill="1" applyBorder="1" applyAlignment="1">
      <alignment horizontal="left" vertical="center" shrinkToFit="1"/>
    </xf>
    <xf numFmtId="0" fontId="0" fillId="0" borderId="1" xfId="0" applyBorder="1">
      <alignment vertical="center"/>
    </xf>
    <xf numFmtId="0" fontId="3" fillId="0" borderId="1" xfId="0" applyFont="1" applyFill="1" applyBorder="1" applyAlignment="1">
      <alignment vertical="center" shrinkToFit="1"/>
    </xf>
    <xf numFmtId="0" fontId="3" fillId="0" borderId="1" xfId="0" applyFont="1" applyFill="1" applyBorder="1" applyAlignment="1">
      <alignment horizontal="left" vertical="center" shrinkToFit="1"/>
    </xf>
    <xf numFmtId="0" fontId="0" fillId="10" borderId="1" xfId="0" applyFill="1" applyBorder="1">
      <alignment vertical="center"/>
    </xf>
    <xf numFmtId="0" fontId="0" fillId="0" borderId="87" xfId="0" applyBorder="1">
      <alignment vertical="center"/>
    </xf>
    <xf numFmtId="0" fontId="0" fillId="0" borderId="88" xfId="0" applyBorder="1">
      <alignment vertical="center"/>
    </xf>
    <xf numFmtId="0" fontId="0" fillId="0" borderId="44" xfId="0" applyBorder="1">
      <alignment vertical="center"/>
    </xf>
    <xf numFmtId="0" fontId="0" fillId="0" borderId="47" xfId="0" applyBorder="1">
      <alignment vertical="center"/>
    </xf>
    <xf numFmtId="0" fontId="0" fillId="0" borderId="2" xfId="0" applyBorder="1">
      <alignment vertical="center"/>
    </xf>
    <xf numFmtId="0" fontId="0" fillId="0" borderId="23" xfId="0" applyBorder="1">
      <alignment vertical="center"/>
    </xf>
    <xf numFmtId="0" fontId="0" fillId="0" borderId="43" xfId="0" applyBorder="1">
      <alignment vertical="center"/>
    </xf>
    <xf numFmtId="0" fontId="3" fillId="0" borderId="94" xfId="0" applyFont="1" applyFill="1" applyBorder="1" applyAlignment="1">
      <alignment vertical="center" wrapText="1"/>
    </xf>
    <xf numFmtId="0" fontId="0" fillId="0" borderId="94" xfId="0" applyBorder="1">
      <alignment vertical="center"/>
    </xf>
    <xf numFmtId="0" fontId="24" fillId="0" borderId="0" xfId="0" applyFont="1" applyAlignment="1">
      <alignment horizontal="left" vertical="center"/>
    </xf>
    <xf numFmtId="0" fontId="0" fillId="10" borderId="1" xfId="0" applyFill="1" applyBorder="1" applyAlignment="1">
      <alignment horizontal="center" vertical="center"/>
    </xf>
    <xf numFmtId="0" fontId="0" fillId="0" borderId="1" xfId="0" applyFill="1" applyBorder="1">
      <alignment vertical="center"/>
    </xf>
    <xf numFmtId="0" fontId="3" fillId="3" borderId="6" xfId="0" applyFont="1" applyFill="1" applyBorder="1" applyAlignment="1" applyProtection="1">
      <alignment horizontal="center" vertical="center" shrinkToFit="1"/>
      <protection locked="0"/>
    </xf>
    <xf numFmtId="0" fontId="3" fillId="3" borderId="1" xfId="0" applyFont="1" applyFill="1" applyBorder="1" applyAlignment="1" applyProtection="1">
      <alignment horizontal="center" vertical="center" shrinkToFit="1"/>
      <protection locked="0"/>
    </xf>
    <xf numFmtId="0" fontId="5" fillId="0" borderId="0" xfId="0" applyFont="1" applyFill="1">
      <alignment vertical="center"/>
    </xf>
    <xf numFmtId="0" fontId="0" fillId="0" borderId="4" xfId="0" applyBorder="1">
      <alignment vertical="center"/>
    </xf>
    <xf numFmtId="0" fontId="6" fillId="3" borderId="6" xfId="0" applyFont="1" applyFill="1" applyBorder="1" applyAlignment="1" applyProtection="1">
      <alignment horizontal="center" vertical="center" wrapText="1" shrinkToFit="1"/>
      <protection locked="0"/>
    </xf>
    <xf numFmtId="0" fontId="6" fillId="3" borderId="1" xfId="0" applyFont="1" applyFill="1" applyBorder="1" applyAlignment="1" applyProtection="1">
      <alignment horizontal="center" vertical="center" wrapText="1" shrinkToFit="1"/>
      <protection locked="0"/>
    </xf>
    <xf numFmtId="0" fontId="6" fillId="3" borderId="11" xfId="0" applyFont="1" applyFill="1" applyBorder="1" applyAlignment="1" applyProtection="1">
      <alignment horizontal="center" vertical="center" wrapText="1" shrinkToFit="1"/>
      <protection locked="0"/>
    </xf>
    <xf numFmtId="0" fontId="3" fillId="3" borderId="1" xfId="0" applyFont="1" applyFill="1" applyBorder="1" applyAlignment="1" applyProtection="1">
      <alignment vertical="center" shrinkToFit="1"/>
      <protection locked="0"/>
    </xf>
    <xf numFmtId="0" fontId="3" fillId="3" borderId="11" xfId="0" applyFont="1" applyFill="1" applyBorder="1" applyAlignment="1" applyProtection="1">
      <alignment vertical="center" shrinkToFit="1"/>
      <protection locked="0"/>
    </xf>
    <xf numFmtId="0" fontId="3" fillId="3" borderId="6" xfId="0" applyFont="1" applyFill="1" applyBorder="1" applyAlignment="1" applyProtection="1">
      <alignment vertical="center" shrinkToFit="1"/>
      <protection locked="0"/>
    </xf>
    <xf numFmtId="0" fontId="3" fillId="0" borderId="81" xfId="0" applyFont="1" applyBorder="1" applyAlignment="1">
      <alignment vertical="center" shrinkToFit="1"/>
    </xf>
    <xf numFmtId="0" fontId="3" fillId="0" borderId="81" xfId="0" applyFont="1" applyBorder="1" applyAlignment="1">
      <alignment vertical="center"/>
    </xf>
    <xf numFmtId="0" fontId="10" fillId="0" borderId="81" xfId="0" applyFont="1" applyBorder="1" applyAlignment="1">
      <alignment vertical="center"/>
    </xf>
    <xf numFmtId="0" fontId="3" fillId="4" borderId="81" xfId="0" applyFont="1" applyFill="1" applyBorder="1" applyAlignment="1">
      <alignment vertical="center"/>
    </xf>
    <xf numFmtId="0" fontId="3" fillId="0" borderId="44" xfId="0" applyFont="1" applyBorder="1" applyAlignment="1">
      <alignment vertical="center"/>
    </xf>
    <xf numFmtId="0" fontId="3" fillId="0" borderId="44" xfId="0" applyFont="1" applyBorder="1" applyAlignment="1">
      <alignment vertical="center" shrinkToFit="1"/>
    </xf>
    <xf numFmtId="0" fontId="3" fillId="0" borderId="0" xfId="0" applyFont="1" applyBorder="1" applyAlignment="1">
      <alignment vertical="center" shrinkToFit="1"/>
    </xf>
    <xf numFmtId="0" fontId="10" fillId="0" borderId="44" xfId="0" applyFont="1" applyBorder="1" applyAlignment="1">
      <alignment vertical="center"/>
    </xf>
    <xf numFmtId="0" fontId="10" fillId="0" borderId="0" xfId="0" applyFont="1" applyBorder="1" applyAlignment="1">
      <alignment vertical="center"/>
    </xf>
    <xf numFmtId="0" fontId="3" fillId="4" borderId="44" xfId="0" applyFont="1" applyFill="1" applyBorder="1" applyAlignment="1">
      <alignment vertical="center"/>
    </xf>
    <xf numFmtId="0" fontId="0" fillId="0" borderId="0" xfId="0" applyFill="1">
      <alignment vertical="center"/>
    </xf>
    <xf numFmtId="0" fontId="6" fillId="0" borderId="23" xfId="0" applyFont="1" applyFill="1" applyBorder="1" applyAlignment="1" applyProtection="1">
      <alignment horizontal="center" vertical="center" wrapText="1" shrinkToFit="1"/>
      <protection locked="0"/>
    </xf>
    <xf numFmtId="0" fontId="3" fillId="0" borderId="1" xfId="0" applyFont="1" applyFill="1" applyBorder="1" applyAlignment="1" applyProtection="1">
      <alignment vertical="center" shrinkToFit="1"/>
      <protection locked="0"/>
    </xf>
    <xf numFmtId="0" fontId="3" fillId="0" borderId="23" xfId="0" applyFont="1" applyFill="1" applyBorder="1" applyAlignment="1" applyProtection="1">
      <alignment vertical="center" shrinkToFit="1"/>
      <protection locked="0"/>
    </xf>
    <xf numFmtId="0" fontId="30" fillId="0" borderId="0" xfId="0" applyFont="1">
      <alignment vertical="center"/>
    </xf>
    <xf numFmtId="0" fontId="31" fillId="0" borderId="0" xfId="0" applyFont="1">
      <alignment vertical="center"/>
    </xf>
    <xf numFmtId="0" fontId="31" fillId="0" borderId="44" xfId="0" applyFont="1" applyBorder="1" applyAlignment="1">
      <alignment vertical="center" shrinkToFit="1"/>
    </xf>
    <xf numFmtId="0" fontId="31" fillId="0" borderId="0" xfId="0" applyFont="1" applyBorder="1">
      <alignment vertical="center"/>
    </xf>
    <xf numFmtId="0" fontId="31" fillId="0" borderId="0" xfId="0" applyFont="1" applyAlignment="1">
      <alignment vertical="center" shrinkToFit="1"/>
    </xf>
    <xf numFmtId="0" fontId="3" fillId="2" borderId="5" xfId="0" applyFont="1" applyFill="1" applyBorder="1" applyAlignment="1">
      <alignment vertical="center" shrinkToFit="1"/>
    </xf>
    <xf numFmtId="0" fontId="6" fillId="2" borderId="6" xfId="0" applyFont="1" applyFill="1" applyBorder="1" applyAlignment="1">
      <alignment vertical="center" wrapText="1" shrinkToFit="1"/>
    </xf>
    <xf numFmtId="0" fontId="3" fillId="2" borderId="6" xfId="0" applyFont="1" applyFill="1" applyBorder="1" applyAlignment="1">
      <alignment horizontal="center" vertical="center" shrinkToFit="1"/>
    </xf>
    <xf numFmtId="0" fontId="8" fillId="3" borderId="4" xfId="0" applyFont="1" applyFill="1" applyBorder="1" applyAlignment="1">
      <alignment horizontal="center" vertical="center" wrapText="1"/>
    </xf>
    <xf numFmtId="0" fontId="32" fillId="0" borderId="0" xfId="0" applyFont="1" applyFill="1">
      <alignment vertical="center"/>
    </xf>
    <xf numFmtId="0" fontId="33" fillId="0" borderId="0" xfId="0" applyFont="1" applyAlignment="1">
      <alignment vertical="center" shrinkToFit="1"/>
    </xf>
    <xf numFmtId="0" fontId="33" fillId="0" borderId="1" xfId="0" applyFont="1" applyBorder="1" applyAlignment="1">
      <alignment vertical="center" shrinkToFit="1"/>
    </xf>
    <xf numFmtId="0" fontId="32" fillId="10" borderId="1" xfId="0" applyFont="1" applyFill="1" applyBorder="1" applyAlignment="1">
      <alignment horizontal="center" vertical="center" shrinkToFit="1"/>
    </xf>
    <xf numFmtId="0" fontId="33" fillId="0" borderId="1" xfId="0" applyFont="1" applyFill="1" applyBorder="1" applyAlignment="1">
      <alignment vertical="center" shrinkToFit="1"/>
    </xf>
    <xf numFmtId="0" fontId="33" fillId="0" borderId="88" xfId="0" applyFont="1" applyBorder="1" applyAlignment="1">
      <alignment vertical="center" shrinkToFit="1"/>
    </xf>
    <xf numFmtId="0" fontId="33" fillId="0" borderId="1" xfId="0" applyFont="1" applyFill="1" applyBorder="1" applyAlignment="1">
      <alignment horizontal="left" vertical="center" shrinkToFit="1"/>
    </xf>
    <xf numFmtId="0" fontId="33" fillId="0" borderId="0" xfId="0" applyFont="1" applyBorder="1" applyAlignment="1">
      <alignment vertical="center" shrinkToFit="1"/>
    </xf>
    <xf numFmtId="0" fontId="33" fillId="0" borderId="87" xfId="0" applyFont="1" applyBorder="1" applyAlignment="1">
      <alignment vertical="center" shrinkToFit="1"/>
    </xf>
    <xf numFmtId="0" fontId="33" fillId="0" borderId="47" xfId="0" applyFont="1" applyBorder="1" applyAlignment="1">
      <alignment vertical="center" shrinkToFit="1"/>
    </xf>
    <xf numFmtId="0" fontId="33" fillId="0" borderId="44" xfId="0" applyFont="1" applyBorder="1" applyAlignment="1">
      <alignment vertical="center" shrinkToFit="1"/>
    </xf>
    <xf numFmtId="0" fontId="33" fillId="0" borderId="0" xfId="0" applyFont="1" applyFill="1" applyBorder="1" applyAlignment="1">
      <alignment vertical="center" shrinkToFit="1"/>
    </xf>
    <xf numFmtId="0" fontId="32" fillId="0" borderId="0" xfId="0" applyFont="1">
      <alignment vertical="center"/>
    </xf>
    <xf numFmtId="0" fontId="32" fillId="10" borderId="1" xfId="0" applyFont="1" applyFill="1" applyBorder="1" applyAlignment="1">
      <alignment vertical="center" shrinkToFit="1"/>
    </xf>
    <xf numFmtId="0" fontId="33" fillId="0" borderId="2" xfId="0" applyFont="1" applyBorder="1" applyAlignment="1">
      <alignment vertical="center" shrinkToFit="1"/>
    </xf>
    <xf numFmtId="0" fontId="33" fillId="0" borderId="3" xfId="0" applyFont="1" applyBorder="1" applyAlignment="1">
      <alignment vertical="center" shrinkToFit="1"/>
    </xf>
    <xf numFmtId="0" fontId="33" fillId="4" borderId="1" xfId="0" applyFont="1" applyFill="1" applyBorder="1" applyAlignment="1">
      <alignment vertical="center" shrinkToFit="1"/>
    </xf>
    <xf numFmtId="0" fontId="13" fillId="0" borderId="0" xfId="0" applyFont="1" applyFill="1" applyBorder="1" applyAlignment="1">
      <alignment vertical="center" wrapText="1"/>
    </xf>
    <xf numFmtId="0" fontId="37" fillId="0" borderId="0" xfId="0" applyFont="1">
      <alignmen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31" fillId="0" borderId="0" xfId="0" applyFont="1" applyBorder="1" applyAlignment="1">
      <alignment vertical="center" shrinkToFit="1"/>
    </xf>
    <xf numFmtId="0" fontId="33" fillId="0" borderId="45" xfId="0" applyFont="1" applyBorder="1" applyAlignment="1">
      <alignment vertical="center" shrinkToFit="1"/>
    </xf>
    <xf numFmtId="0" fontId="8" fillId="11" borderId="1" xfId="0" applyFont="1" applyFill="1" applyBorder="1" applyAlignment="1">
      <alignment horizontal="center" vertical="center" wrapText="1"/>
    </xf>
    <xf numFmtId="0" fontId="8" fillId="11" borderId="40" xfId="0" applyFont="1" applyFill="1" applyBorder="1" applyAlignment="1">
      <alignment horizontal="center" vertical="center" wrapText="1"/>
    </xf>
    <xf numFmtId="0" fontId="8" fillId="11" borderId="4" xfId="0" applyFont="1" applyFill="1" applyBorder="1" applyAlignment="1">
      <alignment horizontal="center" vertical="center" wrapText="1"/>
    </xf>
    <xf numFmtId="0" fontId="8" fillId="11" borderId="2" xfId="0" applyFont="1" applyFill="1" applyBorder="1" applyAlignment="1">
      <alignment horizontal="center" vertical="center" wrapText="1"/>
    </xf>
    <xf numFmtId="0" fontId="8" fillId="11" borderId="54"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0" fillId="7" borderId="1" xfId="0" applyFill="1" applyBorder="1" applyAlignment="1">
      <alignment horizontal="center" vertical="center" wrapText="1"/>
    </xf>
    <xf numFmtId="0" fontId="8" fillId="7" borderId="40" xfId="0" applyFont="1" applyFill="1" applyBorder="1" applyAlignment="1">
      <alignment horizontal="center" vertical="center" wrapText="1"/>
    </xf>
    <xf numFmtId="0" fontId="8" fillId="7" borderId="4" xfId="0" applyFont="1" applyFill="1" applyBorder="1" applyAlignment="1">
      <alignment horizontal="center" vertical="center" wrapText="1"/>
    </xf>
    <xf numFmtId="0" fontId="8" fillId="3" borderId="89" xfId="0" applyFont="1" applyFill="1" applyBorder="1" applyAlignment="1">
      <alignment horizontal="center" vertical="center" wrapText="1"/>
    </xf>
    <xf numFmtId="0" fontId="8" fillId="11" borderId="69" xfId="0" applyFont="1" applyFill="1" applyBorder="1" applyAlignment="1">
      <alignment horizontal="center" vertical="center" wrapText="1"/>
    </xf>
    <xf numFmtId="0" fontId="8" fillId="11" borderId="89" xfId="0" applyFont="1" applyFill="1" applyBorder="1" applyAlignment="1">
      <alignment horizontal="center" vertical="center" wrapText="1"/>
    </xf>
    <xf numFmtId="0" fontId="8" fillId="3" borderId="92" xfId="0" applyFont="1" applyFill="1" applyBorder="1" applyAlignment="1">
      <alignment horizontal="center" vertical="center" wrapText="1"/>
    </xf>
    <xf numFmtId="0" fontId="8" fillId="11" borderId="92" xfId="0" applyFont="1" applyFill="1" applyBorder="1" applyAlignment="1">
      <alignment horizontal="center" vertical="center" wrapText="1"/>
    </xf>
    <xf numFmtId="0" fontId="8" fillId="11" borderId="3" xfId="0" applyFont="1" applyFill="1" applyBorder="1" applyAlignment="1">
      <alignment horizontal="center" vertical="center" wrapText="1"/>
    </xf>
    <xf numFmtId="0" fontId="8" fillId="7" borderId="3" xfId="0" applyFont="1" applyFill="1" applyBorder="1" applyAlignment="1">
      <alignment horizontal="center" vertical="center" wrapText="1"/>
    </xf>
    <xf numFmtId="0" fontId="3" fillId="0" borderId="120" xfId="0" applyFont="1" applyBorder="1">
      <alignment vertical="center"/>
    </xf>
    <xf numFmtId="0" fontId="8" fillId="7" borderId="91" xfId="0" applyFont="1" applyFill="1" applyBorder="1" applyAlignment="1">
      <alignment horizontal="center" vertical="center" wrapText="1"/>
    </xf>
    <xf numFmtId="0" fontId="8" fillId="7" borderId="90" xfId="0" applyFont="1" applyFill="1" applyBorder="1" applyAlignment="1">
      <alignment horizontal="center" vertical="center" wrapText="1"/>
    </xf>
    <xf numFmtId="0" fontId="8" fillId="11" borderId="91" xfId="0" applyFont="1" applyFill="1" applyBorder="1" applyAlignment="1">
      <alignment horizontal="center" vertical="center" wrapText="1"/>
    </xf>
    <xf numFmtId="0" fontId="8" fillId="11" borderId="90" xfId="0" applyFont="1" applyFill="1" applyBorder="1" applyAlignment="1">
      <alignment horizontal="center" vertical="center" wrapText="1"/>
    </xf>
    <xf numFmtId="0" fontId="6" fillId="0" borderId="11" xfId="0" applyFont="1" applyFill="1" applyBorder="1" applyAlignment="1" applyProtection="1">
      <alignment horizontal="center" vertical="center" wrapText="1" shrinkToFit="1"/>
      <protection locked="0"/>
    </xf>
    <xf numFmtId="0" fontId="5" fillId="0" borderId="0" xfId="0" applyFont="1" applyBorder="1" applyAlignment="1">
      <alignment horizontal="left" vertical="center"/>
    </xf>
    <xf numFmtId="0" fontId="0" fillId="11" borderId="1" xfId="0" applyFill="1" applyBorder="1" applyAlignment="1">
      <alignment horizontal="center" vertical="center" wrapText="1"/>
    </xf>
    <xf numFmtId="0" fontId="0" fillId="0" borderId="1" xfId="0" applyBorder="1" applyAlignment="1">
      <alignment vertical="center" shrinkToFit="1"/>
    </xf>
    <xf numFmtId="0" fontId="0" fillId="0" borderId="2" xfId="0" applyFill="1" applyBorder="1">
      <alignment vertical="center"/>
    </xf>
    <xf numFmtId="0" fontId="0" fillId="10" borderId="2" xfId="0" applyFill="1" applyBorder="1" applyAlignment="1">
      <alignment horizontal="center" vertical="center"/>
    </xf>
    <xf numFmtId="0" fontId="0" fillId="7" borderId="1" xfId="0" applyFill="1" applyBorder="1">
      <alignment vertical="center"/>
    </xf>
    <xf numFmtId="0" fontId="3" fillId="0" borderId="121" xfId="0" applyFont="1" applyBorder="1" applyAlignment="1">
      <alignment horizontal="left" vertical="center"/>
    </xf>
    <xf numFmtId="0" fontId="3" fillId="0" borderId="15" xfId="0" applyFont="1" applyBorder="1" applyAlignment="1">
      <alignment horizontal="left" vertical="center"/>
    </xf>
    <xf numFmtId="0" fontId="3" fillId="0" borderId="17" xfId="0" applyFont="1" applyBorder="1" applyAlignment="1">
      <alignment horizontal="left" vertical="center"/>
    </xf>
    <xf numFmtId="0" fontId="24" fillId="0" borderId="0" xfId="0" applyFont="1" applyAlignment="1">
      <alignment vertical="top" wrapText="1"/>
    </xf>
    <xf numFmtId="0" fontId="3" fillId="7" borderId="25" xfId="0" applyFont="1" applyFill="1" applyBorder="1" applyAlignment="1">
      <alignment horizontal="center" vertical="center" wrapText="1"/>
    </xf>
    <xf numFmtId="0" fontId="3" fillId="7" borderId="1" xfId="0" applyFont="1" applyFill="1" applyBorder="1" applyAlignment="1" applyProtection="1">
      <alignment horizontal="center" vertical="center" shrinkToFit="1"/>
      <protection locked="0"/>
    </xf>
    <xf numFmtId="0" fontId="3" fillId="7" borderId="23" xfId="0" applyFont="1" applyFill="1" applyBorder="1" applyAlignment="1" applyProtection="1">
      <alignment horizontal="center" vertical="center" shrinkToFit="1"/>
      <protection locked="0"/>
    </xf>
    <xf numFmtId="0" fontId="3" fillId="0" borderId="0" xfId="0" applyFont="1" applyFill="1">
      <alignment vertical="center"/>
    </xf>
    <xf numFmtId="0" fontId="3" fillId="0" borderId="88" xfId="0" applyFont="1" applyBorder="1">
      <alignment vertical="center"/>
    </xf>
    <xf numFmtId="0" fontId="3" fillId="2" borderId="6" xfId="0" applyFont="1" applyFill="1" applyBorder="1" applyAlignment="1" applyProtection="1">
      <alignment horizontal="center" vertical="center" wrapText="1" shrinkToFit="1"/>
      <protection locked="0"/>
    </xf>
    <xf numFmtId="0" fontId="5" fillId="0" borderId="0" xfId="0" applyFont="1" applyBorder="1" applyAlignment="1">
      <alignment vertical="center" wrapText="1"/>
    </xf>
    <xf numFmtId="0" fontId="24" fillId="0" borderId="0" xfId="0" applyFont="1" applyBorder="1" applyAlignment="1">
      <alignment vertical="center"/>
    </xf>
    <xf numFmtId="180" fontId="8" fillId="0" borderId="1" xfId="0" applyNumberFormat="1" applyFont="1" applyBorder="1">
      <alignment vertical="center"/>
    </xf>
    <xf numFmtId="180" fontId="8" fillId="0" borderId="2" xfId="0" applyNumberFormat="1" applyFont="1" applyBorder="1">
      <alignment vertical="center"/>
    </xf>
    <xf numFmtId="180" fontId="8" fillId="0" borderId="54" xfId="0" applyNumberFormat="1" applyFont="1" applyBorder="1">
      <alignment vertical="center"/>
    </xf>
    <xf numFmtId="180" fontId="8" fillId="0" borderId="4" xfId="0" applyNumberFormat="1" applyFont="1" applyBorder="1">
      <alignment vertical="center"/>
    </xf>
    <xf numFmtId="180" fontId="8" fillId="0" borderId="1" xfId="0" applyNumberFormat="1" applyFont="1" applyBorder="1" applyAlignment="1">
      <alignment vertical="center" wrapText="1"/>
    </xf>
    <xf numFmtId="180" fontId="8" fillId="0" borderId="1" xfId="0" applyNumberFormat="1" applyFont="1" applyBorder="1" applyAlignment="1">
      <alignment horizontal="center" vertical="center"/>
    </xf>
    <xf numFmtId="180" fontId="8" fillId="0" borderId="4" xfId="0" applyNumberFormat="1" applyFont="1" applyBorder="1" applyAlignment="1">
      <alignment horizontal="center" vertical="center"/>
    </xf>
    <xf numFmtId="180" fontId="8" fillId="0" borderId="69" xfId="0" applyNumberFormat="1" applyFont="1" applyBorder="1">
      <alignment vertical="center"/>
    </xf>
    <xf numFmtId="180" fontId="8" fillId="0" borderId="89" xfId="0" applyNumberFormat="1" applyFont="1" applyBorder="1">
      <alignment vertical="center"/>
    </xf>
    <xf numFmtId="180" fontId="8" fillId="0" borderId="92" xfId="0" applyNumberFormat="1" applyFont="1" applyBorder="1">
      <alignment vertical="center"/>
    </xf>
    <xf numFmtId="180" fontId="8" fillId="0" borderId="91" xfId="0" applyNumberFormat="1" applyFont="1" applyFill="1" applyBorder="1">
      <alignment vertical="center"/>
    </xf>
    <xf numFmtId="180" fontId="8" fillId="0" borderId="91" xfId="0" applyNumberFormat="1" applyFont="1" applyBorder="1">
      <alignment vertical="center"/>
    </xf>
    <xf numFmtId="180" fontId="8" fillId="0" borderId="90" xfId="0" applyNumberFormat="1" applyFont="1" applyBorder="1">
      <alignment vertical="center"/>
    </xf>
    <xf numFmtId="180" fontId="8" fillId="0" borderId="3" xfId="0" applyNumberFormat="1" applyFont="1" applyBorder="1">
      <alignment vertical="center"/>
    </xf>
    <xf numFmtId="180" fontId="8" fillId="0" borderId="56" xfId="0" applyNumberFormat="1" applyFont="1" applyBorder="1">
      <alignment vertical="center"/>
    </xf>
    <xf numFmtId="180" fontId="8" fillId="0" borderId="32" xfId="0" applyNumberFormat="1" applyFont="1" applyBorder="1">
      <alignment vertical="center"/>
    </xf>
    <xf numFmtId="180" fontId="8" fillId="0" borderId="1" xfId="0" applyNumberFormat="1" applyFont="1" applyFill="1" applyBorder="1">
      <alignment vertical="center"/>
    </xf>
    <xf numFmtId="180" fontId="8" fillId="0" borderId="40" xfId="0" applyNumberFormat="1" applyFont="1" applyBorder="1">
      <alignment vertical="center"/>
    </xf>
    <xf numFmtId="180" fontId="3" fillId="0" borderId="1" xfId="0" applyNumberFormat="1" applyFont="1" applyBorder="1">
      <alignment vertical="center"/>
    </xf>
    <xf numFmtId="180" fontId="8" fillId="0" borderId="1" xfId="0" applyNumberFormat="1" applyFont="1" applyBorder="1" applyAlignment="1">
      <alignment horizontal="right" vertical="center"/>
    </xf>
    <xf numFmtId="180" fontId="8" fillId="0" borderId="1" xfId="0" applyNumberFormat="1" applyFont="1" applyBorder="1" applyAlignment="1">
      <alignment horizontal="left" vertical="center"/>
    </xf>
    <xf numFmtId="180" fontId="0" fillId="0" borderId="1" xfId="0" applyNumberFormat="1" applyBorder="1">
      <alignment vertical="center"/>
    </xf>
    <xf numFmtId="0" fontId="3" fillId="3" borderId="13" xfId="0" applyFont="1" applyFill="1" applyBorder="1" applyAlignment="1" applyProtection="1">
      <alignment horizontal="center" vertical="center" shrinkToFit="1"/>
      <protection locked="0"/>
    </xf>
    <xf numFmtId="0" fontId="3" fillId="3" borderId="11" xfId="0" applyFont="1" applyFill="1" applyBorder="1" applyAlignment="1" applyProtection="1">
      <alignment horizontal="center" vertical="center" shrinkToFit="1"/>
      <protection locked="0"/>
    </xf>
    <xf numFmtId="0" fontId="3" fillId="3" borderId="12" xfId="0" applyFont="1" applyFill="1" applyBorder="1" applyAlignment="1" applyProtection="1">
      <alignment horizontal="center" vertical="center" shrinkToFit="1"/>
      <protection locked="0"/>
    </xf>
    <xf numFmtId="0" fontId="3" fillId="0" borderId="0" xfId="0" applyFont="1" applyBorder="1" applyAlignment="1">
      <alignment horizontal="left" vertical="center" wrapText="1"/>
    </xf>
    <xf numFmtId="0" fontId="24" fillId="0" borderId="0" xfId="0" applyFont="1" applyAlignment="1">
      <alignment horizontal="left" vertical="top" wrapText="1"/>
    </xf>
    <xf numFmtId="0" fontId="5" fillId="0" borderId="0" xfId="0" applyFont="1" applyBorder="1" applyAlignment="1">
      <alignment horizontal="left" vertical="center"/>
    </xf>
    <xf numFmtId="0" fontId="3" fillId="0" borderId="35" xfId="0" applyFont="1" applyBorder="1" applyAlignment="1">
      <alignment horizontal="left" vertical="center"/>
    </xf>
    <xf numFmtId="0" fontId="3" fillId="0" borderId="36" xfId="0" applyFont="1" applyBorder="1" applyAlignment="1">
      <alignment horizontal="left" vertical="center"/>
    </xf>
    <xf numFmtId="0" fontId="3" fillId="3" borderId="16" xfId="0" applyFont="1" applyFill="1" applyBorder="1" applyAlignment="1" applyProtection="1">
      <alignment horizontal="center" vertical="center"/>
      <protection locked="0"/>
    </xf>
    <xf numFmtId="0" fontId="3" fillId="3" borderId="41" xfId="0" applyFont="1" applyFill="1" applyBorder="1" applyAlignment="1" applyProtection="1">
      <alignment horizontal="center" vertical="center"/>
      <protection locked="0"/>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8" fillId="0" borderId="81" xfId="0" applyFont="1" applyBorder="1" applyAlignment="1">
      <alignment vertical="center"/>
    </xf>
    <xf numFmtId="0" fontId="8" fillId="0" borderId="3" xfId="0" applyFont="1" applyBorder="1" applyAlignment="1">
      <alignment vertical="center"/>
    </xf>
    <xf numFmtId="0" fontId="8" fillId="0" borderId="81" xfId="0" applyFont="1" applyBorder="1" applyAlignment="1">
      <alignment vertical="center" shrinkToFit="1"/>
    </xf>
    <xf numFmtId="0" fontId="8" fillId="0" borderId="3" xfId="0" applyFont="1" applyBorder="1" applyAlignment="1">
      <alignment vertical="center" shrinkToFit="1"/>
    </xf>
    <xf numFmtId="0" fontId="8" fillId="0" borderId="96" xfId="0" applyFont="1" applyFill="1" applyBorder="1" applyAlignment="1">
      <alignment horizontal="left" vertical="center"/>
    </xf>
    <xf numFmtId="0" fontId="8" fillId="0" borderId="97" xfId="0" applyFont="1" applyFill="1" applyBorder="1" applyAlignment="1">
      <alignment horizontal="left" vertical="center"/>
    </xf>
    <xf numFmtId="0" fontId="3" fillId="0" borderId="1" xfId="0" applyFont="1" applyBorder="1" applyAlignment="1">
      <alignment horizontal="left" vertical="center"/>
    </xf>
    <xf numFmtId="0" fontId="3" fillId="0" borderId="18" xfId="0" applyFont="1" applyBorder="1" applyAlignment="1">
      <alignment horizontal="left" vertical="center"/>
    </xf>
    <xf numFmtId="0" fontId="3" fillId="0" borderId="2" xfId="0" applyFont="1" applyBorder="1">
      <alignment vertical="center"/>
    </xf>
    <xf numFmtId="0" fontId="3" fillId="0" borderId="3" xfId="0" applyFont="1" applyBorder="1">
      <alignment vertical="center"/>
    </xf>
    <xf numFmtId="0" fontId="3" fillId="0" borderId="9" xfId="0" applyFont="1" applyBorder="1">
      <alignment vertical="center"/>
    </xf>
    <xf numFmtId="0" fontId="5" fillId="0" borderId="0" xfId="0" applyFont="1" applyBorder="1" applyAlignment="1">
      <alignment horizontal="left" vertical="center" wrapText="1"/>
    </xf>
    <xf numFmtId="0" fontId="5" fillId="2" borderId="0" xfId="0" applyFont="1" applyFill="1" applyAlignment="1">
      <alignment horizontal="left" vertical="center" shrinkToFit="1"/>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9" xfId="0" applyFont="1" applyBorder="1" applyAlignment="1">
      <alignment horizontal="left" vertical="center"/>
    </xf>
    <xf numFmtId="0" fontId="5" fillId="10" borderId="0" xfId="0" applyFont="1" applyFill="1" applyAlignment="1">
      <alignment horizontal="center" vertical="center"/>
    </xf>
    <xf numFmtId="0" fontId="8" fillId="0" borderId="26" xfId="0" applyFont="1" applyBorder="1" applyAlignment="1">
      <alignment horizontal="left" vertical="center"/>
    </xf>
    <xf numFmtId="0" fontId="8" fillId="0" borderId="32"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8" xfId="0" applyFont="1" applyBorder="1" applyAlignment="1">
      <alignment horizontal="left" vertical="center"/>
    </xf>
    <xf numFmtId="0" fontId="8" fillId="0" borderId="42" xfId="0" applyFont="1" applyBorder="1" applyAlignment="1">
      <alignment horizontal="left" vertical="center"/>
    </xf>
    <xf numFmtId="0" fontId="8" fillId="0" borderId="23" xfId="0" applyFont="1" applyBorder="1" applyAlignment="1">
      <alignment horizontal="left" vertical="center"/>
    </xf>
    <xf numFmtId="0" fontId="8" fillId="0" borderId="28" xfId="0" applyFont="1" applyBorder="1" applyAlignment="1">
      <alignment horizontal="left" vertical="center"/>
    </xf>
    <xf numFmtId="0" fontId="8" fillId="0" borderId="13" xfId="0"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4" xfId="0" applyFont="1" applyBorder="1" applyAlignment="1">
      <alignment horizontal="left" vertical="center"/>
    </xf>
    <xf numFmtId="0" fontId="26" fillId="0" borderId="82" xfId="0" applyFont="1" applyBorder="1" applyAlignment="1">
      <alignment horizontal="center" vertical="center" wrapText="1"/>
    </xf>
    <xf numFmtId="0" fontId="26" fillId="0" borderId="24" xfId="0" applyFont="1" applyBorder="1" applyAlignment="1">
      <alignment horizontal="center" vertical="center" wrapText="1"/>
    </xf>
    <xf numFmtId="0" fontId="26" fillId="0" borderId="21" xfId="0" applyFont="1" applyBorder="1" applyAlignment="1">
      <alignment horizontal="center" vertical="center" wrapText="1"/>
    </xf>
    <xf numFmtId="0" fontId="10" fillId="0" borderId="26" xfId="0" applyFont="1" applyBorder="1" applyAlignment="1">
      <alignment horizontal="left" vertical="center"/>
    </xf>
    <xf numFmtId="0" fontId="10" fillId="0" borderId="32" xfId="0" applyFont="1" applyBorder="1" applyAlignment="1">
      <alignment horizontal="left" vertical="center"/>
    </xf>
    <xf numFmtId="0" fontId="10" fillId="0" borderId="56" xfId="0" applyFont="1" applyBorder="1" applyAlignment="1">
      <alignment horizontal="left" vertical="center"/>
    </xf>
    <xf numFmtId="0" fontId="10" fillId="0" borderId="8" xfId="0" applyFont="1" applyBorder="1" applyAlignment="1">
      <alignment horizontal="left" vertical="center"/>
    </xf>
    <xf numFmtId="0" fontId="10" fillId="0" borderId="1" xfId="0" applyFont="1" applyBorder="1" applyAlignment="1">
      <alignment horizontal="left" vertical="center"/>
    </xf>
    <xf numFmtId="0" fontId="10" fillId="0" borderId="2" xfId="0" applyFont="1" applyBorder="1" applyAlignment="1">
      <alignment horizontal="left" vertical="center"/>
    </xf>
    <xf numFmtId="179" fontId="10" fillId="3" borderId="28" xfId="0" applyNumberFormat="1" applyFont="1" applyFill="1" applyBorder="1" applyAlignment="1">
      <alignment horizontal="center" vertical="center"/>
    </xf>
    <xf numFmtId="0" fontId="3" fillId="0" borderId="96" xfId="0" applyFont="1" applyBorder="1" applyAlignment="1">
      <alignment horizontal="left" vertical="center"/>
    </xf>
    <xf numFmtId="0" fontId="3" fillId="0" borderId="97" xfId="0" applyFont="1" applyBorder="1" applyAlignment="1">
      <alignment horizontal="left" vertical="center"/>
    </xf>
    <xf numFmtId="0" fontId="3" fillId="0" borderId="102" xfId="0" applyFont="1" applyBorder="1" applyAlignment="1">
      <alignment horizontal="left" vertical="center"/>
    </xf>
    <xf numFmtId="0" fontId="3" fillId="0" borderId="81" xfId="0" applyFont="1" applyBorder="1" applyAlignment="1">
      <alignment horizontal="left" vertical="center"/>
    </xf>
    <xf numFmtId="0" fontId="3" fillId="0" borderId="3" xfId="0" applyFont="1" applyBorder="1" applyAlignment="1">
      <alignment horizontal="left" vertical="center"/>
    </xf>
    <xf numFmtId="0" fontId="3" fillId="0" borderId="9" xfId="0" applyFont="1" applyBorder="1" applyAlignment="1">
      <alignment horizontal="left" vertical="center"/>
    </xf>
    <xf numFmtId="0" fontId="3" fillId="3" borderId="28" xfId="0" applyFont="1" applyFill="1" applyBorder="1" applyAlignment="1">
      <alignment horizontal="center" vertical="center"/>
    </xf>
    <xf numFmtId="0" fontId="4" fillId="0" borderId="0" xfId="0" applyFont="1" applyAlignment="1">
      <alignment horizontal="center" vertical="center"/>
    </xf>
    <xf numFmtId="0" fontId="3" fillId="0" borderId="20" xfId="0" applyFont="1" applyBorder="1" applyAlignment="1">
      <alignment horizontal="center" vertical="center"/>
    </xf>
    <xf numFmtId="0" fontId="3" fillId="0" borderId="24" xfId="0" applyFont="1" applyBorder="1" applyAlignment="1">
      <alignment horizontal="center" vertical="center"/>
    </xf>
    <xf numFmtId="0" fontId="3" fillId="0" borderId="21"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11" xfId="0" applyFont="1" applyBorder="1" applyAlignment="1">
      <alignment horizontal="left" vertical="center"/>
    </xf>
    <xf numFmtId="0" fontId="3" fillId="0" borderId="14" xfId="0" applyFont="1" applyBorder="1" applyAlignment="1">
      <alignment horizontal="left" vertical="center"/>
    </xf>
    <xf numFmtId="0" fontId="3" fillId="0" borderId="12" xfId="0" applyFont="1" applyBorder="1" applyAlignment="1">
      <alignment horizontal="left" vertical="center"/>
    </xf>
    <xf numFmtId="0" fontId="3" fillId="0" borderId="28" xfId="0" applyFont="1" applyBorder="1" applyAlignment="1">
      <alignment horizontal="left" vertical="center"/>
    </xf>
    <xf numFmtId="0" fontId="3" fillId="0" borderId="19" xfId="0" applyFont="1" applyBorder="1" applyAlignment="1">
      <alignment horizontal="left" vertical="center"/>
    </xf>
    <xf numFmtId="0" fontId="3" fillId="3" borderId="83" xfId="0" applyFont="1" applyFill="1" applyBorder="1" applyAlignment="1" applyProtection="1">
      <alignment horizontal="left" vertical="center" wrapText="1"/>
      <protection locked="0"/>
    </xf>
    <xf numFmtId="0" fontId="3" fillId="3" borderId="15" xfId="0" applyFont="1" applyFill="1" applyBorder="1" applyAlignment="1" applyProtection="1">
      <alignment horizontal="left" vertical="center" wrapText="1"/>
      <protection locked="0"/>
    </xf>
    <xf numFmtId="0" fontId="3" fillId="3" borderId="17" xfId="0" applyFont="1" applyFill="1" applyBorder="1" applyAlignment="1" applyProtection="1">
      <alignment horizontal="left" vertical="center" wrapText="1"/>
      <protection locked="0"/>
    </xf>
    <xf numFmtId="0" fontId="5" fillId="0" borderId="82" xfId="0" applyFont="1" applyBorder="1" applyAlignment="1">
      <alignment horizontal="center" vertical="center"/>
    </xf>
    <xf numFmtId="0" fontId="5" fillId="0" borderId="24" xfId="0" applyFont="1" applyBorder="1" applyAlignment="1">
      <alignment horizontal="center" vertical="center"/>
    </xf>
    <xf numFmtId="0" fontId="5" fillId="0" borderId="21" xfId="0" applyFont="1" applyBorder="1" applyAlignment="1">
      <alignment horizontal="center" vertical="center"/>
    </xf>
    <xf numFmtId="0" fontId="8" fillId="0" borderId="0" xfId="0" applyFont="1" applyAlignment="1">
      <alignment horizontal="center" vertical="center"/>
    </xf>
    <xf numFmtId="0" fontId="8" fillId="0" borderId="20" xfId="0" applyFont="1" applyBorder="1" applyAlignment="1">
      <alignment horizontal="left" vertical="center"/>
    </xf>
    <xf numFmtId="0" fontId="8" fillId="0" borderId="24" xfId="0" applyFont="1" applyBorder="1" applyAlignment="1">
      <alignment horizontal="left" vertical="center"/>
    </xf>
    <xf numFmtId="0" fontId="8" fillId="0" borderId="22" xfId="0" applyFont="1" applyBorder="1" applyAlignment="1">
      <alignment horizontal="left" vertical="center"/>
    </xf>
    <xf numFmtId="0" fontId="3" fillId="3" borderId="28" xfId="0" applyFont="1" applyFill="1" applyBorder="1" applyAlignment="1" applyProtection="1">
      <alignment horizontal="center" vertical="center"/>
      <protection locked="0"/>
    </xf>
    <xf numFmtId="0" fontId="3" fillId="0" borderId="63"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3" fillId="0" borderId="46" xfId="0" applyFont="1" applyBorder="1" applyAlignment="1">
      <alignment horizontal="center" vertical="center"/>
    </xf>
    <xf numFmtId="0" fontId="3" fillId="0" borderId="38" xfId="0" applyFont="1" applyBorder="1" applyAlignment="1">
      <alignment horizontal="center" vertical="center"/>
    </xf>
    <xf numFmtId="0" fontId="8" fillId="0" borderId="31" xfId="0" applyFont="1" applyBorder="1" applyAlignment="1">
      <alignment vertical="center"/>
    </xf>
    <xf numFmtId="0" fontId="8" fillId="0" borderId="28" xfId="0" applyFont="1" applyBorder="1" applyAlignment="1">
      <alignment vertical="center"/>
    </xf>
    <xf numFmtId="0" fontId="8" fillId="0" borderId="2" xfId="0" applyFont="1" applyBorder="1" applyAlignment="1">
      <alignment horizontal="left" vertical="center" shrinkToFit="1"/>
    </xf>
    <xf numFmtId="0" fontId="8" fillId="0" borderId="3" xfId="0" applyFont="1" applyBorder="1" applyAlignment="1">
      <alignment horizontal="left" vertical="center" shrinkToFit="1"/>
    </xf>
    <xf numFmtId="0" fontId="8" fillId="0" borderId="4" xfId="0" applyFont="1" applyBorder="1" applyAlignment="1">
      <alignment horizontal="left" vertical="center" shrinkToFit="1"/>
    </xf>
    <xf numFmtId="0" fontId="9" fillId="0" borderId="33" xfId="0" applyFont="1" applyBorder="1" applyAlignment="1">
      <alignment horizontal="center" vertical="center"/>
    </xf>
    <xf numFmtId="0" fontId="8" fillId="0" borderId="34" xfId="0" applyFont="1" applyBorder="1" applyAlignment="1">
      <alignment horizontal="center" vertical="center"/>
    </xf>
    <xf numFmtId="0" fontId="8" fillId="0" borderId="63" xfId="0" applyFont="1" applyBorder="1" applyAlignment="1">
      <alignment horizontal="center" vertical="center"/>
    </xf>
    <xf numFmtId="0" fontId="9" fillId="0" borderId="62" xfId="0" applyFont="1" applyBorder="1" applyAlignment="1">
      <alignment horizontal="center" vertical="center"/>
    </xf>
    <xf numFmtId="0" fontId="8" fillId="0" borderId="46" xfId="0" applyFont="1" applyBorder="1" applyAlignment="1">
      <alignment horizontal="center" vertical="center"/>
    </xf>
    <xf numFmtId="0" fontId="8" fillId="0" borderId="76" xfId="0" applyFont="1" applyBorder="1" applyAlignment="1">
      <alignment horizontal="left" vertical="center"/>
    </xf>
    <xf numFmtId="0" fontId="8" fillId="0" borderId="1" xfId="0" applyFont="1" applyBorder="1" applyAlignment="1">
      <alignment vertical="center"/>
    </xf>
    <xf numFmtId="0" fontId="8" fillId="0" borderId="53" xfId="0" applyFont="1" applyBorder="1" applyAlignment="1">
      <alignment horizontal="center" vertical="center"/>
    </xf>
    <xf numFmtId="0" fontId="8" fillId="0" borderId="84" xfId="0" applyFont="1" applyBorder="1" applyAlignment="1">
      <alignment horizontal="center" vertical="center"/>
    </xf>
    <xf numFmtId="0" fontId="8" fillId="0" borderId="85" xfId="0" applyFont="1" applyBorder="1" applyAlignment="1">
      <alignment horizontal="center" vertical="center"/>
    </xf>
    <xf numFmtId="0" fontId="8" fillId="0" borderId="51" xfId="0" applyFont="1" applyBorder="1" applyAlignment="1">
      <alignment horizontal="center" vertical="center"/>
    </xf>
    <xf numFmtId="0" fontId="3" fillId="0" borderId="96" xfId="0" applyFont="1" applyBorder="1" applyAlignment="1">
      <alignment horizontal="center" vertical="center"/>
    </xf>
    <xf numFmtId="0" fontId="3" fillId="0" borderId="97" xfId="0" applyFont="1" applyBorder="1" applyAlignment="1">
      <alignment horizontal="center" vertical="center"/>
    </xf>
    <xf numFmtId="0" fontId="3" fillId="0" borderId="98" xfId="0" applyFont="1" applyBorder="1" applyAlignment="1">
      <alignment horizontal="center" vertical="center"/>
    </xf>
    <xf numFmtId="0" fontId="3" fillId="0" borderId="86" xfId="0" applyFont="1" applyBorder="1" applyAlignment="1">
      <alignment horizontal="center" vertical="center"/>
    </xf>
    <xf numFmtId="0" fontId="3" fillId="0" borderId="45" xfId="0" applyFont="1" applyBorder="1" applyAlignment="1">
      <alignment horizontal="center" vertical="center"/>
    </xf>
    <xf numFmtId="0" fontId="3" fillId="0" borderId="37" xfId="0" applyFont="1" applyBorder="1" applyAlignment="1">
      <alignment horizontal="center" vertical="center"/>
    </xf>
    <xf numFmtId="0" fontId="3" fillId="0" borderId="56" xfId="0" applyFont="1" applyBorder="1" applyAlignment="1">
      <alignment horizontal="center" vertical="center"/>
    </xf>
    <xf numFmtId="0" fontId="5" fillId="0" borderId="0" xfId="0" applyFont="1" applyAlignment="1">
      <alignment horizontal="right" vertical="center"/>
    </xf>
    <xf numFmtId="0" fontId="3" fillId="0" borderId="20" xfId="0" applyFont="1" applyBorder="1">
      <alignment vertical="center"/>
    </xf>
    <xf numFmtId="0" fontId="3" fillId="0" borderId="24" xfId="0" applyFont="1" applyBorder="1">
      <alignment vertical="center"/>
    </xf>
    <xf numFmtId="0" fontId="3" fillId="0" borderId="22" xfId="0" applyFont="1" applyBorder="1">
      <alignment vertical="center"/>
    </xf>
    <xf numFmtId="0" fontId="3" fillId="0" borderId="2" xfId="0" applyFont="1" applyBorder="1" applyAlignment="1">
      <alignment horizontal="left" vertical="center"/>
    </xf>
    <xf numFmtId="0" fontId="3" fillId="3" borderId="36" xfId="0" applyFont="1" applyFill="1" applyBorder="1" applyAlignment="1" applyProtection="1">
      <alignment horizontal="center" vertical="center"/>
      <protection locked="0"/>
    </xf>
    <xf numFmtId="0" fontId="2" fillId="0" borderId="103" xfId="0" applyFont="1" applyBorder="1" applyAlignment="1">
      <alignment horizontal="center" vertical="center"/>
    </xf>
    <xf numFmtId="0" fontId="2" fillId="0" borderId="104" xfId="0" applyFont="1" applyBorder="1" applyAlignment="1">
      <alignment horizontal="center" vertical="center"/>
    </xf>
    <xf numFmtId="0" fontId="2" fillId="0" borderId="105" xfId="0" applyFont="1" applyBorder="1" applyAlignment="1">
      <alignment horizontal="center" vertical="center"/>
    </xf>
    <xf numFmtId="0" fontId="2" fillId="0" borderId="107" xfId="0" applyFont="1" applyBorder="1" applyAlignment="1">
      <alignment horizontal="center" vertical="center"/>
    </xf>
    <xf numFmtId="0" fontId="2" fillId="0" borderId="108" xfId="0" applyFont="1" applyBorder="1" applyAlignment="1">
      <alignment horizontal="center" vertical="center"/>
    </xf>
    <xf numFmtId="0" fontId="2" fillId="0" borderId="109" xfId="0" applyFont="1" applyBorder="1" applyAlignment="1">
      <alignment horizontal="center" vertical="center"/>
    </xf>
    <xf numFmtId="0" fontId="8" fillId="0" borderId="106" xfId="0" applyFont="1" applyBorder="1" applyAlignment="1">
      <alignment horizontal="center" vertical="center"/>
    </xf>
    <xf numFmtId="0" fontId="8" fillId="0" borderId="110" xfId="0" applyFont="1" applyBorder="1" applyAlignment="1">
      <alignment horizontal="center" vertical="center"/>
    </xf>
    <xf numFmtId="0" fontId="3" fillId="0" borderId="20" xfId="0" applyFont="1" applyBorder="1" applyAlignment="1">
      <alignment horizontal="left" vertical="center"/>
    </xf>
    <xf numFmtId="0" fontId="3" fillId="0" borderId="24" xfId="0" applyFont="1" applyBorder="1" applyAlignment="1">
      <alignment horizontal="left" vertical="center"/>
    </xf>
    <xf numFmtId="0" fontId="3" fillId="0" borderId="22" xfId="0" applyFont="1" applyBorder="1" applyAlignment="1">
      <alignment horizontal="left" vertical="center"/>
    </xf>
    <xf numFmtId="0" fontId="8" fillId="0" borderId="35" xfId="0" applyFont="1" applyBorder="1" applyAlignment="1">
      <alignment horizontal="left" vertical="center"/>
    </xf>
    <xf numFmtId="0" fontId="8" fillId="0" borderId="36" xfId="0" applyFont="1" applyBorder="1" applyAlignment="1">
      <alignment horizontal="left" vertical="center"/>
    </xf>
    <xf numFmtId="0" fontId="8" fillId="0" borderId="51" xfId="0" applyFont="1" applyBorder="1" applyAlignment="1">
      <alignment horizontal="left" vertical="center"/>
    </xf>
    <xf numFmtId="0" fontId="8" fillId="3" borderId="28" xfId="0" applyFont="1" applyFill="1" applyBorder="1" applyAlignment="1" applyProtection="1">
      <alignment horizontal="center" vertical="center"/>
      <protection locked="0"/>
    </xf>
    <xf numFmtId="0" fontId="3" fillId="0" borderId="21"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55" xfId="0" applyFont="1" applyFill="1" applyBorder="1" applyAlignment="1">
      <alignment horizontal="center" vertical="center"/>
    </xf>
    <xf numFmtId="0" fontId="3" fillId="6" borderId="2" xfId="0" applyFont="1" applyFill="1" applyBorder="1" applyAlignment="1" applyProtection="1">
      <alignment horizontal="center" vertical="center" shrinkToFit="1"/>
      <protection locked="0"/>
    </xf>
    <xf numFmtId="0" fontId="3" fillId="6" borderId="4" xfId="0" applyFont="1" applyFill="1" applyBorder="1" applyAlignment="1" applyProtection="1">
      <alignment horizontal="center" vertical="center" shrinkToFit="1"/>
      <protection locked="0"/>
    </xf>
    <xf numFmtId="0" fontId="3" fillId="3" borderId="2" xfId="0" applyFont="1" applyFill="1" applyBorder="1" applyAlignment="1" applyProtection="1">
      <alignment horizontal="center" vertical="center" shrinkToFit="1"/>
      <protection locked="0"/>
    </xf>
    <xf numFmtId="0" fontId="3" fillId="3" borderId="4" xfId="0" applyFont="1" applyFill="1" applyBorder="1" applyAlignment="1" applyProtection="1">
      <alignment horizontal="center" vertical="center" shrinkToFit="1"/>
      <protection locked="0"/>
    </xf>
    <xf numFmtId="0" fontId="3" fillId="7" borderId="12" xfId="0" applyFont="1" applyFill="1" applyBorder="1" applyAlignment="1" applyProtection="1">
      <alignment horizontal="center" vertical="center" shrinkToFit="1"/>
      <protection locked="0"/>
    </xf>
    <xf numFmtId="0" fontId="3" fillId="7" borderId="13" xfId="0" applyFont="1" applyFill="1" applyBorder="1" applyAlignment="1" applyProtection="1">
      <alignment horizontal="center" vertical="center" shrinkToFit="1"/>
      <protection locked="0"/>
    </xf>
    <xf numFmtId="0" fontId="3" fillId="0" borderId="5" xfId="0" applyFont="1" applyFill="1" applyBorder="1" applyAlignment="1">
      <alignment horizontal="center" vertical="center"/>
    </xf>
    <xf numFmtId="0" fontId="3" fillId="0" borderId="0" xfId="0" applyFont="1" applyAlignment="1">
      <alignment horizontal="left" vertical="center" wrapText="1"/>
    </xf>
    <xf numFmtId="0" fontId="3" fillId="3" borderId="10"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59" xfId="0" applyFont="1" applyFill="1" applyBorder="1" applyAlignment="1" applyProtection="1">
      <alignment horizontal="center" vertical="center"/>
      <protection locked="0"/>
    </xf>
    <xf numFmtId="0" fontId="3" fillId="3" borderId="49" xfId="0" applyFont="1" applyFill="1" applyBorder="1" applyAlignment="1" applyProtection="1">
      <alignment horizontal="center" vertical="center"/>
      <protection locked="0"/>
    </xf>
    <xf numFmtId="0" fontId="3" fillId="3" borderId="2" xfId="0" applyFont="1" applyFill="1" applyBorder="1" applyAlignment="1" applyProtection="1">
      <alignment horizontal="center" vertical="center"/>
      <protection locked="0"/>
    </xf>
    <xf numFmtId="0" fontId="3" fillId="3" borderId="4" xfId="0" applyFont="1" applyFill="1" applyBorder="1" applyAlignment="1" applyProtection="1">
      <alignment horizontal="center" vertical="center"/>
      <protection locked="0"/>
    </xf>
    <xf numFmtId="0" fontId="3" fillId="0" borderId="31" xfId="0" applyFont="1" applyBorder="1" applyAlignment="1">
      <alignment horizontal="center" vertical="center"/>
    </xf>
    <xf numFmtId="0" fontId="3" fillId="0" borderId="28" xfId="0" applyFont="1" applyBorder="1" applyAlignment="1">
      <alignment horizontal="center" vertical="center"/>
    </xf>
    <xf numFmtId="0" fontId="3" fillId="0" borderId="13" xfId="0" applyFont="1" applyBorder="1" applyAlignment="1">
      <alignment horizontal="center" vertical="center"/>
    </xf>
    <xf numFmtId="0" fontId="3" fillId="3" borderId="12" xfId="0" applyFont="1" applyFill="1" applyBorder="1" applyAlignment="1" applyProtection="1">
      <alignment horizontal="center" vertical="center"/>
      <protection locked="0"/>
    </xf>
    <xf numFmtId="0" fontId="3" fillId="3" borderId="13" xfId="0" applyFont="1" applyFill="1" applyBorder="1" applyAlignment="1" applyProtection="1">
      <alignment horizontal="center" vertical="center"/>
      <protection locked="0"/>
    </xf>
    <xf numFmtId="0" fontId="3" fillId="3" borderId="30" xfId="0" applyFont="1" applyFill="1" applyBorder="1" applyAlignment="1" applyProtection="1">
      <alignment horizontal="center" vertical="center"/>
      <protection locked="0"/>
    </xf>
    <xf numFmtId="0" fontId="3" fillId="3" borderId="79" xfId="0" applyFont="1" applyFill="1" applyBorder="1" applyAlignment="1" applyProtection="1">
      <alignment horizontal="center" vertical="center"/>
      <protection locked="0"/>
    </xf>
    <xf numFmtId="0" fontId="3" fillId="5" borderId="47" xfId="0" applyFont="1" applyFill="1" applyBorder="1" applyAlignment="1">
      <alignment horizontal="center" vertical="center"/>
    </xf>
    <xf numFmtId="0" fontId="3" fillId="5" borderId="43" xfId="0" applyFont="1" applyFill="1" applyBorder="1" applyAlignment="1">
      <alignment horizontal="center" vertical="center"/>
    </xf>
    <xf numFmtId="0" fontId="3" fillId="5" borderId="50" xfId="0" applyFont="1" applyFill="1" applyBorder="1" applyAlignment="1">
      <alignment horizontal="center" vertical="center"/>
    </xf>
    <xf numFmtId="0" fontId="3" fillId="5" borderId="64" xfId="0" applyFont="1" applyFill="1" applyBorder="1" applyAlignment="1">
      <alignment horizontal="center" vertical="center"/>
    </xf>
    <xf numFmtId="0" fontId="3" fillId="0" borderId="44" xfId="0" applyFont="1" applyBorder="1" applyAlignment="1">
      <alignment horizontal="center" vertical="center"/>
    </xf>
    <xf numFmtId="0" fontId="3" fillId="0" borderId="0" xfId="0" applyFont="1" applyBorder="1" applyAlignment="1">
      <alignment horizontal="center" vertical="center"/>
    </xf>
    <xf numFmtId="0" fontId="3" fillId="0" borderId="47" xfId="0" applyFont="1" applyBorder="1" applyAlignment="1">
      <alignment horizontal="center" vertical="center"/>
    </xf>
    <xf numFmtId="0" fontId="3" fillId="5" borderId="73" xfId="0" applyFont="1" applyFill="1" applyBorder="1" applyAlignment="1">
      <alignment horizontal="center" vertical="center"/>
    </xf>
    <xf numFmtId="0" fontId="3" fillId="5" borderId="74" xfId="0" applyFont="1" applyFill="1" applyBorder="1" applyAlignment="1">
      <alignment horizontal="center" vertical="center"/>
    </xf>
    <xf numFmtId="0" fontId="3" fillId="3" borderId="12" xfId="0" applyFont="1" applyFill="1" applyBorder="1" applyAlignment="1">
      <alignment horizontal="center" vertical="center"/>
    </xf>
    <xf numFmtId="0" fontId="10" fillId="5" borderId="80" xfId="0" applyFont="1" applyFill="1" applyBorder="1" applyAlignment="1">
      <alignment horizontal="center" vertical="center"/>
    </xf>
    <xf numFmtId="0" fontId="10" fillId="5" borderId="19" xfId="0" applyFont="1" applyFill="1" applyBorder="1" applyAlignment="1">
      <alignment horizontal="center" vertical="center"/>
    </xf>
    <xf numFmtId="0" fontId="3" fillId="3" borderId="1" xfId="0" applyFont="1" applyFill="1" applyBorder="1" applyAlignment="1" applyProtection="1">
      <alignment horizontal="center" vertical="center"/>
      <protection locked="0"/>
    </xf>
    <xf numFmtId="0" fontId="3" fillId="3" borderId="32" xfId="0" applyFont="1" applyFill="1" applyBorder="1" applyAlignment="1" applyProtection="1">
      <alignment horizontal="center" vertical="center"/>
      <protection locked="0"/>
    </xf>
    <xf numFmtId="0" fontId="3" fillId="3" borderId="39" xfId="0" applyFont="1" applyFill="1" applyBorder="1" applyAlignment="1" applyProtection="1">
      <alignment horizontal="center" vertical="center"/>
      <protection locked="0"/>
    </xf>
    <xf numFmtId="0" fontId="3" fillId="3" borderId="65" xfId="0" applyFont="1" applyFill="1" applyBorder="1" applyAlignment="1" applyProtection="1">
      <alignment horizontal="center" vertical="center"/>
      <protection locked="0"/>
    </xf>
    <xf numFmtId="0" fontId="3" fillId="3" borderId="66" xfId="0" applyFont="1" applyFill="1" applyBorder="1" applyAlignment="1" applyProtection="1">
      <alignment horizontal="center" vertical="center"/>
      <protection locked="0"/>
    </xf>
    <xf numFmtId="0" fontId="3" fillId="5" borderId="75" xfId="0" applyFont="1" applyFill="1" applyBorder="1" applyAlignment="1">
      <alignment horizontal="center" vertical="center"/>
    </xf>
    <xf numFmtId="0" fontId="3" fillId="5" borderId="59" xfId="0" applyFont="1" applyFill="1" applyBorder="1" applyAlignment="1">
      <alignment horizontal="center" vertical="center"/>
    </xf>
    <xf numFmtId="0" fontId="10" fillId="5" borderId="13" xfId="0" applyFont="1" applyFill="1" applyBorder="1" applyAlignment="1">
      <alignment horizontal="center" vertical="center"/>
    </xf>
    <xf numFmtId="0" fontId="3" fillId="5" borderId="2" xfId="0" applyFont="1" applyFill="1" applyBorder="1" applyAlignment="1">
      <alignment horizontal="center" vertical="center"/>
    </xf>
    <xf numFmtId="0" fontId="3" fillId="5" borderId="9" xfId="0" applyFont="1" applyFill="1" applyBorder="1" applyAlignment="1">
      <alignment horizontal="center" vertical="center"/>
    </xf>
    <xf numFmtId="0" fontId="3" fillId="5" borderId="57" xfId="0" applyFont="1" applyFill="1" applyBorder="1" applyAlignment="1">
      <alignment horizontal="center" vertical="center"/>
    </xf>
    <xf numFmtId="0" fontId="3" fillId="5" borderId="72" xfId="0" applyFont="1" applyFill="1" applyBorder="1" applyAlignment="1">
      <alignment horizontal="center" vertical="center"/>
    </xf>
    <xf numFmtId="0" fontId="10" fillId="5" borderId="12" xfId="0" applyFont="1" applyFill="1" applyBorder="1" applyAlignment="1">
      <alignment horizontal="center" vertical="center"/>
    </xf>
    <xf numFmtId="0" fontId="3" fillId="5" borderId="70" xfId="0" applyFont="1" applyFill="1" applyBorder="1" applyAlignment="1">
      <alignment horizontal="center" vertical="center"/>
    </xf>
    <xf numFmtId="0" fontId="3" fillId="5" borderId="71" xfId="0" applyFont="1" applyFill="1" applyBorder="1" applyAlignment="1">
      <alignment horizontal="center" vertical="center"/>
    </xf>
    <xf numFmtId="0" fontId="5" fillId="9" borderId="5" xfId="0" applyFont="1" applyFill="1" applyBorder="1" applyAlignment="1">
      <alignment horizontal="center" vertical="center"/>
    </xf>
    <xf numFmtId="0" fontId="5" fillId="9" borderId="6" xfId="0" applyFont="1" applyFill="1" applyBorder="1" applyAlignment="1">
      <alignment horizontal="center" vertical="center"/>
    </xf>
    <xf numFmtId="0" fontId="5" fillId="9" borderId="8" xfId="0" applyFont="1" applyFill="1" applyBorder="1" applyAlignment="1">
      <alignment horizontal="center" vertical="center"/>
    </xf>
    <xf numFmtId="0" fontId="5" fillId="9" borderId="1" xfId="0" applyFont="1" applyFill="1" applyBorder="1" applyAlignment="1">
      <alignment horizontal="center" vertical="center"/>
    </xf>
    <xf numFmtId="0" fontId="5" fillId="9" borderId="7" xfId="0" applyFont="1" applyFill="1" applyBorder="1" applyAlignment="1">
      <alignment horizontal="center" vertical="center"/>
    </xf>
    <xf numFmtId="0" fontId="19" fillId="0" borderId="1" xfId="2" applyBorder="1" applyAlignment="1">
      <alignment horizontal="center" vertical="center"/>
    </xf>
    <xf numFmtId="0" fontId="20" fillId="0" borderId="1" xfId="2" applyFont="1" applyBorder="1" applyAlignment="1">
      <alignment horizontal="center" vertical="center"/>
    </xf>
    <xf numFmtId="0" fontId="20" fillId="0" borderId="18" xfId="2" applyFont="1" applyBorder="1" applyAlignment="1">
      <alignment horizontal="center" vertical="center"/>
    </xf>
    <xf numFmtId="0" fontId="3" fillId="0" borderId="83" xfId="0" applyFont="1" applyBorder="1" applyAlignment="1">
      <alignment horizontal="center" vertical="center"/>
    </xf>
    <xf numFmtId="0" fontId="3" fillId="0" borderId="15" xfId="0" applyFont="1" applyBorder="1" applyAlignment="1">
      <alignment horizontal="center" vertical="center"/>
    </xf>
    <xf numFmtId="0" fontId="3" fillId="3" borderId="11" xfId="0" applyFont="1" applyFill="1" applyBorder="1" applyAlignment="1" applyProtection="1">
      <alignment horizontal="center" vertical="center"/>
      <protection locked="0"/>
    </xf>
    <xf numFmtId="0" fontId="3" fillId="3" borderId="14" xfId="0" applyFont="1" applyFill="1" applyBorder="1" applyAlignment="1" applyProtection="1">
      <alignment horizontal="center" vertical="center"/>
      <protection locked="0"/>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3" fillId="0" borderId="23" xfId="0" applyFont="1" applyBorder="1" applyAlignment="1">
      <alignment horizontal="center" vertical="center"/>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3" borderId="98" xfId="0" applyFont="1" applyFill="1" applyBorder="1" applyAlignment="1" applyProtection="1">
      <alignment horizontal="center" vertical="center"/>
      <protection locked="0"/>
    </xf>
    <xf numFmtId="0" fontId="3" fillId="3" borderId="34" xfId="0" applyFont="1" applyFill="1" applyBorder="1" applyAlignment="1" applyProtection="1">
      <alignment horizontal="center" vertical="center"/>
      <protection locked="0"/>
    </xf>
    <xf numFmtId="0" fontId="3" fillId="3" borderId="6" xfId="0" applyFont="1" applyFill="1" applyBorder="1" applyAlignment="1" applyProtection="1">
      <alignment horizontal="center" vertical="center"/>
      <protection locked="0"/>
    </xf>
    <xf numFmtId="0" fontId="3" fillId="3" borderId="7" xfId="0" applyFont="1" applyFill="1" applyBorder="1" applyAlignment="1" applyProtection="1">
      <alignment horizontal="center" vertical="center"/>
      <protection locked="0"/>
    </xf>
    <xf numFmtId="0" fontId="3" fillId="0" borderId="2" xfId="0" applyFont="1" applyBorder="1" applyAlignment="1">
      <alignment horizontal="center" vertical="center"/>
    </xf>
    <xf numFmtId="0" fontId="3" fillId="3" borderId="3" xfId="0" applyFont="1" applyFill="1" applyBorder="1" applyAlignment="1" applyProtection="1">
      <alignment horizontal="center" vertical="center"/>
      <protection locked="0"/>
    </xf>
    <xf numFmtId="0" fontId="3" fillId="3" borderId="9" xfId="0" applyFont="1" applyFill="1" applyBorder="1" applyAlignment="1" applyProtection="1">
      <alignment horizontal="center" vertical="center"/>
      <protection locked="0"/>
    </xf>
    <xf numFmtId="0" fontId="3" fillId="0" borderId="60" xfId="0" applyFont="1" applyBorder="1" applyAlignment="1">
      <alignment horizontal="center" vertical="center"/>
    </xf>
    <xf numFmtId="0" fontId="3" fillId="0" borderId="42" xfId="0" applyFont="1" applyBorder="1" applyAlignment="1">
      <alignment horizontal="center" vertical="center"/>
    </xf>
    <xf numFmtId="0" fontId="3" fillId="0" borderId="48" xfId="0" applyFont="1" applyBorder="1" applyAlignment="1">
      <alignment horizontal="center" vertical="center"/>
    </xf>
    <xf numFmtId="0" fontId="3" fillId="0" borderId="61" xfId="0" applyFont="1" applyBorder="1" applyAlignment="1">
      <alignment horizontal="center" vertical="center"/>
    </xf>
    <xf numFmtId="0" fontId="3" fillId="0" borderId="22" xfId="0" applyFont="1" applyBorder="1" applyAlignment="1">
      <alignment horizontal="center" vertical="center"/>
    </xf>
    <xf numFmtId="0" fontId="5" fillId="0" borderId="67" xfId="0" applyFont="1" applyBorder="1" applyAlignment="1">
      <alignment horizontal="left"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3" xfId="0" applyFont="1" applyBorder="1" applyAlignment="1">
      <alignment horizontal="center"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3" fillId="0" borderId="27" xfId="0" applyFont="1" applyBorder="1" applyAlignment="1">
      <alignment horizontal="center" vertical="center" textRotation="255"/>
    </xf>
    <xf numFmtId="0" fontId="5" fillId="0" borderId="0" xfId="0" applyFont="1" applyAlignment="1">
      <alignment horizontal="left" vertical="center"/>
    </xf>
    <xf numFmtId="177" fontId="3" fillId="3" borderId="15" xfId="0" applyNumberFormat="1" applyFont="1" applyFill="1" applyBorder="1" applyAlignment="1" applyProtection="1">
      <alignment horizontal="center" vertical="center"/>
      <protection locked="0"/>
    </xf>
    <xf numFmtId="177" fontId="3" fillId="3" borderId="17" xfId="0" applyNumberFormat="1" applyFont="1" applyFill="1" applyBorder="1" applyAlignment="1" applyProtection="1">
      <alignment horizontal="center" vertical="center"/>
      <protection locked="0"/>
    </xf>
    <xf numFmtId="0" fontId="10" fillId="0" borderId="1" xfId="2" applyFont="1" applyBorder="1" applyAlignment="1">
      <alignment horizontal="center" vertical="center"/>
    </xf>
    <xf numFmtId="0" fontId="10" fillId="0" borderId="18" xfId="2" applyFont="1" applyBorder="1" applyAlignment="1">
      <alignment horizontal="center" vertical="center"/>
    </xf>
    <xf numFmtId="0" fontId="5" fillId="9" borderId="10" xfId="0" applyFont="1" applyFill="1" applyBorder="1" applyAlignment="1">
      <alignment horizontal="center" vertical="center"/>
    </xf>
    <xf numFmtId="0" fontId="5" fillId="9" borderId="11" xfId="0" applyFont="1" applyFill="1" applyBorder="1" applyAlignment="1">
      <alignment horizontal="center" vertical="center"/>
    </xf>
    <xf numFmtId="178" fontId="21" fillId="0" borderId="11" xfId="0" applyNumberFormat="1" applyFont="1" applyBorder="1" applyAlignment="1">
      <alignment horizontal="center" vertical="center"/>
    </xf>
    <xf numFmtId="178" fontId="3" fillId="0" borderId="11" xfId="0" applyNumberFormat="1" applyFont="1" applyBorder="1" applyAlignment="1">
      <alignment horizontal="center" vertical="center"/>
    </xf>
    <xf numFmtId="178" fontId="3" fillId="0" borderId="14" xfId="0" applyNumberFormat="1" applyFont="1" applyBorder="1" applyAlignment="1">
      <alignment horizontal="center" vertical="center"/>
    </xf>
    <xf numFmtId="0" fontId="3" fillId="5" borderId="4" xfId="0" applyFont="1" applyFill="1" applyBorder="1" applyAlignment="1">
      <alignment horizontal="center" vertical="center"/>
    </xf>
    <xf numFmtId="0" fontId="3" fillId="5" borderId="1" xfId="0" applyFont="1" applyFill="1" applyBorder="1" applyAlignment="1">
      <alignment horizontal="center" vertical="center"/>
    </xf>
    <xf numFmtId="0" fontId="3" fillId="5" borderId="76" xfId="0" applyFont="1" applyFill="1" applyBorder="1" applyAlignment="1">
      <alignment horizontal="center" vertical="center"/>
    </xf>
    <xf numFmtId="0" fontId="3" fillId="3" borderId="37" xfId="0" applyFont="1" applyFill="1" applyBorder="1" applyAlignment="1" applyProtection="1">
      <alignment horizontal="center" vertical="center"/>
      <protection locked="0"/>
    </xf>
    <xf numFmtId="0" fontId="3" fillId="3" borderId="40" xfId="0" applyFont="1" applyFill="1" applyBorder="1" applyAlignment="1" applyProtection="1">
      <alignment horizontal="center" vertical="center"/>
      <protection locked="0"/>
    </xf>
    <xf numFmtId="0" fontId="3" fillId="6" borderId="21" xfId="0" applyFont="1" applyFill="1" applyBorder="1" applyAlignment="1">
      <alignment horizontal="center" vertical="center"/>
    </xf>
    <xf numFmtId="0" fontId="3" fillId="6" borderId="6" xfId="0" applyFont="1" applyFill="1" applyBorder="1" applyAlignment="1">
      <alignment horizontal="center" vertical="center"/>
    </xf>
    <xf numFmtId="0" fontId="3" fillId="7" borderId="6" xfId="0" applyFont="1" applyFill="1" applyBorder="1" applyAlignment="1">
      <alignment horizontal="center" vertical="center"/>
    </xf>
    <xf numFmtId="0" fontId="3" fillId="7" borderId="55" xfId="0" applyFont="1" applyFill="1" applyBorder="1" applyAlignment="1">
      <alignment horizontal="center" vertical="center"/>
    </xf>
    <xf numFmtId="0" fontId="6" fillId="0" borderId="11" xfId="0" applyFont="1" applyFill="1" applyBorder="1" applyAlignment="1" applyProtection="1">
      <alignment horizontal="center" vertical="center" shrinkToFit="1"/>
      <protection locked="0"/>
    </xf>
    <xf numFmtId="0" fontId="6" fillId="0" borderId="1" xfId="0" applyFont="1" applyFill="1" applyBorder="1" applyAlignment="1" applyProtection="1">
      <alignment horizontal="center" vertical="center" wrapText="1" shrinkToFit="1"/>
      <protection locked="0"/>
    </xf>
    <xf numFmtId="0" fontId="6" fillId="0" borderId="18" xfId="0" applyFont="1" applyFill="1" applyBorder="1" applyAlignment="1" applyProtection="1">
      <alignment horizontal="center" vertical="center" wrapText="1" shrinkToFit="1"/>
      <protection locked="0"/>
    </xf>
    <xf numFmtId="0" fontId="3" fillId="0" borderId="96" xfId="0" applyFont="1" applyFill="1" applyBorder="1" applyAlignment="1">
      <alignment horizontal="center" vertical="center" wrapText="1"/>
    </xf>
    <xf numFmtId="0" fontId="3" fillId="0" borderId="97" xfId="0" applyFont="1" applyFill="1" applyBorder="1" applyAlignment="1">
      <alignment horizontal="center" vertical="center" wrapText="1"/>
    </xf>
    <xf numFmtId="0" fontId="3" fillId="0" borderId="98" xfId="0" applyFont="1" applyFill="1" applyBorder="1" applyAlignment="1">
      <alignment horizontal="center" vertical="center" wrapText="1"/>
    </xf>
    <xf numFmtId="0" fontId="3" fillId="0" borderId="93"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0" borderId="99"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113" xfId="0" applyFont="1" applyFill="1" applyBorder="1" applyAlignment="1" applyProtection="1">
      <alignment horizontal="center" vertical="center"/>
      <protection locked="0"/>
    </xf>
    <xf numFmtId="0" fontId="3" fillId="0" borderId="114" xfId="0" applyFont="1" applyFill="1" applyBorder="1" applyAlignment="1" applyProtection="1">
      <alignment horizontal="center" vertical="center"/>
      <protection locked="0"/>
    </xf>
    <xf numFmtId="0" fontId="3" fillId="0" borderId="117" xfId="0" applyFont="1" applyFill="1" applyBorder="1" applyAlignment="1" applyProtection="1">
      <alignment horizontal="center" vertical="center"/>
      <protection locked="0"/>
    </xf>
    <xf numFmtId="0" fontId="3" fillId="0" borderId="118" xfId="0" applyFont="1" applyFill="1" applyBorder="1" applyAlignment="1" applyProtection="1">
      <alignment horizontal="center" vertical="center"/>
      <protection locked="0"/>
    </xf>
    <xf numFmtId="0" fontId="3" fillId="6" borderId="20" xfId="0" applyFont="1" applyFill="1" applyBorder="1" applyAlignment="1" applyProtection="1">
      <alignment horizontal="center" vertical="center" shrinkToFit="1"/>
      <protection locked="0"/>
    </xf>
    <xf numFmtId="0" fontId="3" fillId="6" borderId="21"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21" xfId="0" applyFont="1" applyFill="1" applyBorder="1" applyAlignment="1" applyProtection="1">
      <alignment horizontal="center" vertical="center" shrinkToFit="1"/>
      <protection locked="0"/>
    </xf>
    <xf numFmtId="0" fontId="3" fillId="3" borderId="81"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115" xfId="0" applyFont="1" applyFill="1" applyBorder="1" applyAlignment="1" applyProtection="1">
      <alignment horizontal="center" vertical="center" shrinkToFit="1"/>
      <protection locked="0"/>
    </xf>
    <xf numFmtId="0" fontId="3" fillId="3" borderId="111" xfId="0" applyFont="1" applyFill="1" applyBorder="1" applyAlignment="1" applyProtection="1">
      <alignment horizontal="center" vertical="center" shrinkToFit="1"/>
      <protection locked="0"/>
    </xf>
    <xf numFmtId="0" fontId="3" fillId="5" borderId="76" xfId="0" applyFont="1" applyFill="1" applyBorder="1" applyAlignment="1" applyProtection="1">
      <alignment horizontal="center" vertical="center" shrinkToFit="1"/>
      <protection locked="0"/>
    </xf>
    <xf numFmtId="0" fontId="3" fillId="5" borderId="9" xfId="0" applyFont="1" applyFill="1" applyBorder="1" applyAlignment="1" applyProtection="1">
      <alignment horizontal="center" vertical="center" shrinkToFit="1"/>
      <protection locked="0"/>
    </xf>
    <xf numFmtId="0" fontId="3" fillId="5" borderId="116" xfId="0" applyFont="1" applyFill="1" applyBorder="1" applyAlignment="1" applyProtection="1">
      <alignment horizontal="center" vertical="center" shrinkToFit="1"/>
      <protection locked="0"/>
    </xf>
    <xf numFmtId="0" fontId="3" fillId="5" borderId="101" xfId="0" applyFont="1" applyFill="1" applyBorder="1" applyAlignment="1" applyProtection="1">
      <alignment horizontal="center" vertical="center" shrinkToFit="1"/>
      <protection locked="0"/>
    </xf>
    <xf numFmtId="0" fontId="3" fillId="5" borderId="61" xfId="0" applyFont="1" applyFill="1" applyBorder="1" applyAlignment="1" applyProtection="1">
      <alignment horizontal="center" vertical="center" shrinkToFit="1"/>
      <protection locked="0"/>
    </xf>
    <xf numFmtId="0" fontId="3" fillId="5" borderId="22" xfId="0" applyFont="1" applyFill="1" applyBorder="1" applyAlignment="1" applyProtection="1">
      <alignment horizontal="center" vertical="center" shrinkToFit="1"/>
      <protection locked="0"/>
    </xf>
    <xf numFmtId="0" fontId="6" fillId="3" borderId="1" xfId="0" applyFont="1" applyFill="1" applyBorder="1" applyAlignment="1" applyProtection="1">
      <alignment horizontal="center" vertical="center" wrapText="1" shrinkToFit="1"/>
      <protection locked="0"/>
    </xf>
    <xf numFmtId="0" fontId="6" fillId="3" borderId="18" xfId="0" applyFont="1" applyFill="1" applyBorder="1" applyAlignment="1" applyProtection="1">
      <alignment horizontal="center" vertical="center" wrapText="1" shrinkToFit="1"/>
      <protection locked="0"/>
    </xf>
    <xf numFmtId="0" fontId="6" fillId="7" borderId="87" xfId="0" applyFont="1" applyFill="1" applyBorder="1" applyAlignment="1" applyProtection="1">
      <alignment horizontal="center" vertical="center" wrapText="1" shrinkToFit="1"/>
      <protection locked="0"/>
    </xf>
    <xf numFmtId="0" fontId="6" fillId="7" borderId="88" xfId="0" applyFont="1" applyFill="1" applyBorder="1" applyAlignment="1" applyProtection="1">
      <alignment horizontal="center" vertical="center" wrapText="1" shrinkToFit="1"/>
      <protection locked="0"/>
    </xf>
    <xf numFmtId="0" fontId="6" fillId="7" borderId="112" xfId="0" applyFont="1" applyFill="1" applyBorder="1" applyAlignment="1" applyProtection="1">
      <alignment horizontal="center" vertical="center" wrapText="1" shrinkToFit="1"/>
      <protection locked="0"/>
    </xf>
    <xf numFmtId="0" fontId="3" fillId="2" borderId="20"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7" borderId="87" xfId="0" applyFont="1" applyFill="1" applyBorder="1" applyAlignment="1">
      <alignment horizontal="center" vertical="center" wrapText="1"/>
    </xf>
    <xf numFmtId="0" fontId="3" fillId="7" borderId="42" xfId="0" applyFont="1" applyFill="1" applyBorder="1" applyAlignment="1">
      <alignment horizontal="center" vertical="center" wrapText="1"/>
    </xf>
    <xf numFmtId="0" fontId="6" fillId="3" borderId="6" xfId="0" applyFont="1" applyFill="1" applyBorder="1" applyAlignment="1" applyProtection="1">
      <alignment horizontal="center" vertical="center" wrapText="1" shrinkToFit="1"/>
      <protection locked="0"/>
    </xf>
    <xf numFmtId="0" fontId="6" fillId="3" borderId="7" xfId="0" applyFont="1" applyFill="1" applyBorder="1" applyAlignment="1" applyProtection="1">
      <alignment horizontal="center" vertical="center" wrapText="1" shrinkToFit="1"/>
      <protection locked="0"/>
    </xf>
    <xf numFmtId="0" fontId="3" fillId="3" borderId="1" xfId="0" applyFont="1" applyFill="1" applyBorder="1" applyAlignment="1" applyProtection="1">
      <alignment horizontal="center" vertical="center" shrinkToFit="1"/>
      <protection locked="0"/>
    </xf>
    <xf numFmtId="0" fontId="3" fillId="3"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pplyProtection="1">
      <alignment horizontal="center" vertical="center" shrinkToFit="1"/>
      <protection locked="0"/>
    </xf>
    <xf numFmtId="0" fontId="3" fillId="2" borderId="6" xfId="0" applyFont="1" applyFill="1" applyBorder="1" applyAlignment="1">
      <alignment horizontal="center" vertical="center" shrinkToFit="1"/>
    </xf>
    <xf numFmtId="0" fontId="6" fillId="0" borderId="11" xfId="0" applyFont="1" applyFill="1" applyBorder="1" applyAlignment="1" applyProtection="1">
      <alignment horizontal="center" vertical="center" wrapText="1" shrinkToFit="1"/>
      <protection locked="0"/>
    </xf>
    <xf numFmtId="0" fontId="6" fillId="0" borderId="14" xfId="0" applyFont="1" applyFill="1" applyBorder="1" applyAlignment="1" applyProtection="1">
      <alignment horizontal="center" vertical="center" wrapText="1" shrinkToFit="1"/>
      <protection locked="0"/>
    </xf>
    <xf numFmtId="0" fontId="3" fillId="3" borderId="96" xfId="0" applyFont="1" applyFill="1" applyBorder="1" applyAlignment="1">
      <alignment horizontal="center" vertical="center"/>
    </xf>
    <xf numFmtId="0" fontId="3" fillId="3" borderId="98" xfId="0" applyFont="1" applyFill="1" applyBorder="1" applyAlignment="1">
      <alignment horizontal="center" vertical="center"/>
    </xf>
    <xf numFmtId="0" fontId="3" fillId="0" borderId="63" xfId="0" applyFont="1" applyBorder="1" applyAlignment="1">
      <alignment horizontal="left" vertical="center"/>
    </xf>
    <xf numFmtId="0" fontId="3" fillId="3" borderId="31" xfId="0" applyFont="1" applyFill="1" applyBorder="1" applyAlignment="1">
      <alignment horizontal="center" vertical="center"/>
    </xf>
    <xf numFmtId="0" fontId="3" fillId="3" borderId="13" xfId="0" applyFont="1" applyFill="1" applyBorder="1" applyAlignment="1">
      <alignment horizontal="center" vertical="center"/>
    </xf>
    <xf numFmtId="0" fontId="3" fillId="0" borderId="83"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3" borderId="6" xfId="0" applyFont="1" applyFill="1" applyBorder="1" applyAlignment="1" applyProtection="1">
      <alignment horizontal="center" vertical="center" shrinkToFit="1"/>
      <protection locked="0"/>
    </xf>
    <xf numFmtId="0" fontId="3" fillId="3" borderId="119" xfId="0" applyFont="1" applyFill="1" applyBorder="1" applyAlignment="1" applyProtection="1">
      <alignment horizontal="center" vertical="center" shrinkToFit="1"/>
      <protection locked="0"/>
    </xf>
    <xf numFmtId="0" fontId="3" fillId="2" borderId="24" xfId="0" applyFont="1" applyFill="1" applyBorder="1" applyAlignment="1" applyProtection="1">
      <alignment horizontal="center" vertical="center" shrinkToFit="1"/>
      <protection locked="0"/>
    </xf>
    <xf numFmtId="0" fontId="3" fillId="2" borderId="21" xfId="0" applyFont="1" applyFill="1" applyBorder="1" applyAlignment="1" applyProtection="1">
      <alignment horizontal="center" vertical="center" shrinkToFit="1"/>
      <protection locked="0"/>
    </xf>
    <xf numFmtId="0" fontId="3" fillId="2" borderId="20" xfId="0" applyFont="1" applyFill="1" applyBorder="1" applyAlignment="1" applyProtection="1">
      <alignment horizontal="center" vertical="center" shrinkToFit="1"/>
      <protection locked="0"/>
    </xf>
    <xf numFmtId="0" fontId="3" fillId="2" borderId="22" xfId="0" applyFont="1" applyFill="1" applyBorder="1" applyAlignment="1" applyProtection="1">
      <alignment horizontal="center" vertical="center" shrinkToFit="1"/>
      <protection locked="0"/>
    </xf>
    <xf numFmtId="0" fontId="3" fillId="7" borderId="88" xfId="0" applyFont="1" applyFill="1" applyBorder="1" applyAlignment="1" applyProtection="1">
      <alignment horizontal="center" vertical="center" shrinkToFit="1"/>
      <protection locked="0"/>
    </xf>
    <xf numFmtId="0" fontId="3" fillId="7" borderId="42" xfId="0" applyFont="1" applyFill="1" applyBorder="1" applyAlignment="1" applyProtection="1">
      <alignment horizontal="center" vertical="center" shrinkToFit="1"/>
      <protection locked="0"/>
    </xf>
    <xf numFmtId="0" fontId="3" fillId="7" borderId="87" xfId="0" applyFont="1" applyFill="1" applyBorder="1" applyAlignment="1" applyProtection="1">
      <alignment horizontal="center" vertical="center" shrinkToFit="1"/>
      <protection locked="0"/>
    </xf>
    <xf numFmtId="0" fontId="6" fillId="7" borderId="42" xfId="0" applyFont="1" applyFill="1" applyBorder="1" applyAlignment="1" applyProtection="1">
      <alignment horizontal="center" vertical="center" wrapText="1" shrinkToFit="1"/>
      <protection locked="0"/>
    </xf>
    <xf numFmtId="0" fontId="3" fillId="2" borderId="34" xfId="0" applyFont="1" applyFill="1" applyBorder="1" applyAlignment="1" applyProtection="1">
      <alignment horizontal="center" vertical="center" wrapText="1" shrinkToFit="1"/>
      <protection locked="0"/>
    </xf>
    <xf numFmtId="0" fontId="3" fillId="2" borderId="46" xfId="0" applyFont="1" applyFill="1" applyBorder="1" applyAlignment="1" applyProtection="1">
      <alignment horizontal="center" vertical="center" wrapText="1" shrinkToFit="1"/>
      <protection locked="0"/>
    </xf>
    <xf numFmtId="0" fontId="3" fillId="2" borderId="6" xfId="0" applyFont="1" applyFill="1" applyBorder="1" applyAlignment="1" applyProtection="1">
      <alignment horizontal="center" vertical="center" shrinkToFit="1"/>
      <protection locked="0"/>
    </xf>
    <xf numFmtId="0" fontId="6" fillId="0" borderId="87" xfId="0" applyFont="1" applyFill="1" applyBorder="1" applyAlignment="1" applyProtection="1">
      <alignment horizontal="center" vertical="center" wrapText="1" shrinkToFit="1"/>
      <protection locked="0"/>
    </xf>
    <xf numFmtId="0" fontId="6" fillId="0" borderId="88" xfId="0" applyFont="1" applyFill="1" applyBorder="1" applyAlignment="1" applyProtection="1">
      <alignment horizontal="center" vertical="center" wrapText="1" shrinkToFit="1"/>
      <protection locked="0"/>
    </xf>
    <xf numFmtId="0" fontId="6" fillId="0" borderId="42" xfId="0" applyFont="1" applyFill="1" applyBorder="1" applyAlignment="1" applyProtection="1">
      <alignment horizontal="center" vertical="center" wrapText="1" shrinkToFit="1"/>
      <protection locked="0"/>
    </xf>
    <xf numFmtId="0" fontId="3" fillId="3" borderId="11" xfId="0" applyFont="1" applyFill="1" applyBorder="1" applyAlignment="1">
      <alignment horizontal="center" vertical="center" wrapText="1"/>
    </xf>
    <xf numFmtId="0" fontId="6" fillId="3" borderId="11" xfId="0" applyFont="1" applyFill="1" applyBorder="1" applyAlignment="1" applyProtection="1">
      <alignment horizontal="center" vertical="center" wrapText="1" shrinkToFit="1"/>
      <protection locked="0"/>
    </xf>
    <xf numFmtId="0" fontId="6" fillId="3" borderId="14" xfId="0" applyFont="1" applyFill="1" applyBorder="1" applyAlignment="1" applyProtection="1">
      <alignment horizontal="center" vertical="center" wrapText="1" shrinkToFit="1"/>
      <protection locked="0"/>
    </xf>
    <xf numFmtId="0" fontId="3" fillId="2" borderId="21" xfId="0" applyFont="1" applyFill="1" applyBorder="1" applyAlignment="1">
      <alignment horizontal="center" vertical="center" shrinkToFit="1"/>
    </xf>
    <xf numFmtId="0" fontId="3" fillId="3" borderId="6"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3" xfId="0" applyFont="1" applyFill="1" applyBorder="1" applyAlignment="1" applyProtection="1">
      <alignment horizontal="center" vertical="center" shrinkToFit="1"/>
      <protection locked="0"/>
    </xf>
    <xf numFmtId="0" fontId="3" fillId="0" borderId="2" xfId="0" applyFont="1" applyFill="1" applyBorder="1" applyAlignment="1" applyProtection="1">
      <alignment horizontal="center" vertical="center" shrinkToFit="1"/>
      <protection locked="0"/>
    </xf>
    <xf numFmtId="0" fontId="3" fillId="0" borderId="4" xfId="0" applyFont="1" applyFill="1" applyBorder="1" applyAlignment="1" applyProtection="1">
      <alignment horizontal="center" vertical="center" shrinkToFit="1"/>
      <protection locked="0"/>
    </xf>
    <xf numFmtId="0" fontId="3" fillId="0" borderId="87" xfId="0" applyFont="1" applyFill="1" applyBorder="1" applyAlignment="1" applyProtection="1">
      <alignment horizontal="center" vertical="center" shrinkToFit="1"/>
      <protection locked="0"/>
    </xf>
    <xf numFmtId="0" fontId="3" fillId="0" borderId="42" xfId="0" applyFont="1" applyFill="1" applyBorder="1" applyAlignment="1" applyProtection="1">
      <alignment horizontal="center" vertical="center" shrinkToFit="1"/>
      <protection locked="0"/>
    </xf>
    <xf numFmtId="0" fontId="6" fillId="3" borderId="1" xfId="0" applyFont="1" applyFill="1" applyBorder="1" applyAlignment="1" applyProtection="1">
      <alignment horizontal="center" vertical="center" shrinkToFit="1"/>
      <protection locked="0"/>
    </xf>
    <xf numFmtId="0" fontId="6" fillId="3" borderId="11" xfId="0" applyFont="1" applyFill="1" applyBorder="1" applyAlignment="1" applyProtection="1">
      <alignment horizontal="center" vertical="center" shrinkToFit="1"/>
      <protection locked="0"/>
    </xf>
    <xf numFmtId="0" fontId="33" fillId="0" borderId="0" xfId="0" applyFont="1" applyFill="1" applyBorder="1" applyAlignment="1">
      <alignment horizontal="left" vertical="top" wrapText="1"/>
    </xf>
    <xf numFmtId="0" fontId="0" fillId="3" borderId="93" xfId="0" applyFont="1" applyFill="1" applyBorder="1" applyAlignment="1">
      <alignment horizontal="left" vertical="top" wrapText="1"/>
    </xf>
    <xf numFmtId="0" fontId="0" fillId="3" borderId="0" xfId="0" applyFont="1" applyFill="1" applyBorder="1" applyAlignment="1">
      <alignment horizontal="left" vertical="top" wrapText="1"/>
    </xf>
    <xf numFmtId="0" fontId="0" fillId="3" borderId="94" xfId="0" applyFont="1" applyFill="1" applyBorder="1" applyAlignment="1">
      <alignment horizontal="left" vertical="top" wrapText="1"/>
    </xf>
    <xf numFmtId="0" fontId="0" fillId="3" borderId="99" xfId="0" applyFont="1" applyFill="1" applyBorder="1" applyAlignment="1">
      <alignment horizontal="left" vertical="top" wrapText="1"/>
    </xf>
    <xf numFmtId="0" fontId="0" fillId="3" borderId="67" xfId="0" applyFont="1" applyFill="1" applyBorder="1" applyAlignment="1">
      <alignment horizontal="left" vertical="top" wrapText="1"/>
    </xf>
    <xf numFmtId="0" fontId="0" fillId="3" borderId="101" xfId="0" applyFont="1" applyFill="1" applyBorder="1" applyAlignment="1">
      <alignment horizontal="left" vertical="top" wrapText="1"/>
    </xf>
    <xf numFmtId="0" fontId="13" fillId="0" borderId="67" xfId="0" applyFont="1" applyFill="1" applyBorder="1" applyAlignment="1">
      <alignment horizontal="left" vertical="top" wrapText="1"/>
    </xf>
    <xf numFmtId="0" fontId="24" fillId="0" borderId="0" xfId="0" applyFont="1" applyAlignment="1">
      <alignment horizontal="left" vertical="center" shrinkToFit="1"/>
    </xf>
    <xf numFmtId="0" fontId="3" fillId="3" borderId="83" xfId="0" applyFont="1" applyFill="1" applyBorder="1" applyAlignment="1">
      <alignment horizontal="center" vertical="center"/>
    </xf>
    <xf numFmtId="0" fontId="3" fillId="3" borderId="16" xfId="0" applyFont="1" applyFill="1" applyBorder="1" applyAlignment="1">
      <alignment horizontal="center" vertical="center"/>
    </xf>
    <xf numFmtId="0" fontId="5" fillId="0" borderId="0" xfId="0" applyFont="1" applyBorder="1" applyAlignment="1">
      <alignment horizontal="center" vertical="center" wrapText="1"/>
    </xf>
    <xf numFmtId="0" fontId="6" fillId="3" borderId="6" xfId="0" applyFont="1" applyFill="1" applyBorder="1" applyAlignment="1" applyProtection="1">
      <alignment horizontal="center" vertical="center" shrinkToFit="1"/>
      <protection locked="0"/>
    </xf>
    <xf numFmtId="0" fontId="10" fillId="0" borderId="5" xfId="1" applyFont="1" applyBorder="1" applyAlignment="1" applyProtection="1">
      <alignment horizontal="center" vertical="center"/>
      <protection hidden="1"/>
    </xf>
    <xf numFmtId="0" fontId="10" fillId="0" borderId="8" xfId="1" applyFont="1" applyBorder="1" applyAlignment="1" applyProtection="1">
      <alignment horizontal="center" vertical="center"/>
      <protection hidden="1"/>
    </xf>
    <xf numFmtId="0" fontId="10" fillId="0" borderId="10" xfId="1" applyFont="1" applyBorder="1" applyAlignment="1" applyProtection="1">
      <alignment horizontal="center" vertical="center"/>
      <protection hidden="1"/>
    </xf>
    <xf numFmtId="0" fontId="15" fillId="0" borderId="1" xfId="1" applyFont="1" applyBorder="1" applyAlignment="1" applyProtection="1">
      <alignment horizontal="center" vertical="center" wrapText="1"/>
      <protection hidden="1"/>
    </xf>
    <xf numFmtId="0" fontId="15" fillId="0" borderId="1" xfId="1" applyFont="1" applyBorder="1" applyAlignment="1" applyProtection="1">
      <alignment horizontal="center" vertical="center"/>
      <protection hidden="1"/>
    </xf>
    <xf numFmtId="0" fontId="15" fillId="0" borderId="12" xfId="1" applyFont="1" applyBorder="1" applyAlignment="1" applyProtection="1">
      <alignment horizontal="center" vertical="center"/>
      <protection hidden="1"/>
    </xf>
    <xf numFmtId="0" fontId="15" fillId="0" borderId="28" xfId="1" applyFont="1" applyBorder="1" applyAlignment="1" applyProtection="1">
      <alignment horizontal="center" vertical="center"/>
      <protection hidden="1"/>
    </xf>
    <xf numFmtId="0" fontId="10" fillId="6" borderId="35" xfId="1" applyFont="1" applyFill="1" applyBorder="1" applyAlignment="1" applyProtection="1">
      <alignment horizontal="center" vertical="center"/>
      <protection hidden="1"/>
    </xf>
    <xf numFmtId="0" fontId="10" fillId="6" borderId="36" xfId="1" applyFont="1" applyFill="1" applyBorder="1" applyAlignment="1" applyProtection="1">
      <alignment horizontal="center" vertical="center"/>
      <protection hidden="1"/>
    </xf>
    <xf numFmtId="0" fontId="10" fillId="6" borderId="41" xfId="1" applyFont="1" applyFill="1" applyBorder="1" applyAlignment="1" applyProtection="1">
      <alignment horizontal="center" vertical="center"/>
      <protection hidden="1"/>
    </xf>
    <xf numFmtId="0" fontId="10" fillId="0" borderId="33" xfId="1" applyFont="1" applyBorder="1" applyAlignment="1" applyProtection="1">
      <alignment horizontal="center" vertical="center" wrapText="1"/>
      <protection hidden="1"/>
    </xf>
    <xf numFmtId="0" fontId="10" fillId="0" borderId="27" xfId="1" applyFont="1" applyBorder="1" applyAlignment="1" applyProtection="1">
      <alignment horizontal="center" vertical="center" wrapText="1"/>
      <protection hidden="1"/>
    </xf>
    <xf numFmtId="0" fontId="10" fillId="0" borderId="29" xfId="1" applyFont="1" applyBorder="1" applyAlignment="1" applyProtection="1">
      <alignment horizontal="center" vertical="center" wrapText="1"/>
      <protection hidden="1"/>
    </xf>
    <xf numFmtId="0" fontId="14" fillId="0" borderId="0" xfId="1" applyFont="1" applyAlignment="1">
      <alignment horizontal="center" vertical="center"/>
    </xf>
    <xf numFmtId="0" fontId="10" fillId="7" borderId="35" xfId="1" applyFont="1" applyFill="1" applyBorder="1" applyAlignment="1" applyProtection="1">
      <alignment horizontal="center" vertical="center"/>
      <protection hidden="1"/>
    </xf>
    <xf numFmtId="0" fontId="10" fillId="7" borderId="36" xfId="1" applyFont="1" applyFill="1" applyBorder="1" applyAlignment="1" applyProtection="1">
      <alignment horizontal="center" vertical="center"/>
      <protection hidden="1"/>
    </xf>
    <xf numFmtId="0" fontId="10" fillId="7" borderId="41" xfId="1" applyFont="1" applyFill="1" applyBorder="1" applyAlignment="1" applyProtection="1">
      <alignment horizontal="center" vertical="center"/>
      <protection hidden="1"/>
    </xf>
    <xf numFmtId="0" fontId="10" fillId="0" borderId="26" xfId="1" applyFont="1" applyBorder="1" applyAlignment="1" applyProtection="1">
      <alignment horizontal="center" vertical="center"/>
      <protection hidden="1"/>
    </xf>
    <xf numFmtId="0" fontId="8" fillId="7" borderId="87" xfId="0" applyFont="1" applyFill="1" applyBorder="1" applyAlignment="1">
      <alignment horizontal="center" vertical="center"/>
    </xf>
    <xf numFmtId="0" fontId="8" fillId="7" borderId="88" xfId="0" applyFont="1" applyFill="1" applyBorder="1" applyAlignment="1">
      <alignment horizontal="center" vertical="center"/>
    </xf>
    <xf numFmtId="0" fontId="8" fillId="7" borderId="42" xfId="0" applyFont="1" applyFill="1" applyBorder="1" applyAlignment="1">
      <alignment horizontal="center" vertical="center"/>
    </xf>
    <xf numFmtId="0" fontId="8" fillId="7" borderId="2" xfId="0" applyFont="1" applyFill="1" applyBorder="1" applyAlignment="1">
      <alignment horizontal="center" vertical="center"/>
    </xf>
    <xf numFmtId="0" fontId="8" fillId="7" borderId="3" xfId="0" applyFont="1" applyFill="1" applyBorder="1" applyAlignment="1">
      <alignment horizontal="center" vertical="center"/>
    </xf>
    <xf numFmtId="0" fontId="8" fillId="7" borderId="4" xfId="0" applyFont="1" applyFill="1" applyBorder="1" applyAlignment="1">
      <alignment horizontal="center" vertical="center"/>
    </xf>
    <xf numFmtId="0" fontId="8" fillId="11" borderId="87" xfId="0" applyFont="1" applyFill="1" applyBorder="1" applyAlignment="1">
      <alignment horizontal="center" vertical="center"/>
    </xf>
    <xf numFmtId="0" fontId="8" fillId="11" borderId="88" xfId="0" applyFont="1" applyFill="1" applyBorder="1" applyAlignment="1">
      <alignment horizontal="center" vertical="center"/>
    </xf>
    <xf numFmtId="0" fontId="8" fillId="11" borderId="42" xfId="0" applyFont="1" applyFill="1" applyBorder="1" applyAlignment="1">
      <alignment horizontal="center" vertical="center"/>
    </xf>
    <xf numFmtId="0" fontId="8" fillId="11" borderId="2" xfId="0" applyFont="1" applyFill="1" applyBorder="1" applyAlignment="1">
      <alignment horizontal="center" vertical="center"/>
    </xf>
    <xf numFmtId="0" fontId="8" fillId="11" borderId="3" xfId="0" applyFont="1" applyFill="1" applyBorder="1" applyAlignment="1">
      <alignment horizontal="center" vertical="center"/>
    </xf>
    <xf numFmtId="0" fontId="8" fillId="11" borderId="4"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87" xfId="0" applyFont="1" applyFill="1" applyBorder="1" applyAlignment="1">
      <alignment horizontal="center" vertical="center"/>
    </xf>
    <xf numFmtId="0" fontId="8" fillId="3" borderId="88" xfId="0" applyFont="1" applyFill="1" applyBorder="1" applyAlignment="1">
      <alignment horizontal="center" vertical="center"/>
    </xf>
    <xf numFmtId="0" fontId="8" fillId="3" borderId="42" xfId="0" applyFont="1" applyFill="1" applyBorder="1" applyAlignment="1">
      <alignment horizontal="center" vertical="center"/>
    </xf>
    <xf numFmtId="0" fontId="8" fillId="11" borderId="32" xfId="0" applyFont="1" applyFill="1" applyBorder="1" applyAlignment="1">
      <alignment horizontal="center" vertical="center"/>
    </xf>
    <xf numFmtId="0" fontId="8" fillId="7" borderId="32" xfId="0" applyFont="1" applyFill="1" applyBorder="1" applyAlignment="1">
      <alignment horizontal="center" vertical="center"/>
    </xf>
    <xf numFmtId="0" fontId="8" fillId="11" borderId="1" xfId="0" applyFont="1" applyFill="1" applyBorder="1" applyAlignment="1">
      <alignment horizontal="center" vertical="center"/>
    </xf>
    <xf numFmtId="0" fontId="8" fillId="3" borderId="32" xfId="0" applyFont="1" applyFill="1" applyBorder="1" applyAlignment="1">
      <alignment horizontal="center" vertical="center"/>
    </xf>
    <xf numFmtId="0" fontId="8" fillId="7" borderId="56" xfId="0" applyFont="1" applyFill="1" applyBorder="1" applyAlignment="1">
      <alignment horizontal="center" vertical="center"/>
    </xf>
    <xf numFmtId="0" fontId="8" fillId="7" borderId="45" xfId="0" applyFont="1" applyFill="1" applyBorder="1" applyAlignment="1">
      <alignment horizontal="center" vertical="center"/>
    </xf>
    <xf numFmtId="0" fontId="8" fillId="7" borderId="37" xfId="0" applyFont="1" applyFill="1" applyBorder="1" applyAlignment="1">
      <alignment horizontal="center" vertical="center"/>
    </xf>
    <xf numFmtId="0" fontId="8" fillId="11" borderId="56" xfId="0" applyFont="1" applyFill="1" applyBorder="1" applyAlignment="1">
      <alignment horizontal="center" vertical="center"/>
    </xf>
    <xf numFmtId="0" fontId="8" fillId="11" borderId="45" xfId="0" applyFont="1" applyFill="1" applyBorder="1" applyAlignment="1">
      <alignment horizontal="center" vertical="center"/>
    </xf>
    <xf numFmtId="0" fontId="8" fillId="11" borderId="37" xfId="0" applyFont="1" applyFill="1" applyBorder="1" applyAlignment="1">
      <alignment horizontal="center" vertical="center"/>
    </xf>
    <xf numFmtId="0" fontId="8" fillId="3" borderId="37" xfId="0" applyFont="1" applyFill="1" applyBorder="1" applyAlignment="1">
      <alignment horizontal="center" vertical="center"/>
    </xf>
    <xf numFmtId="0" fontId="8" fillId="3" borderId="1" xfId="0" applyFont="1" applyFill="1" applyBorder="1" applyAlignment="1">
      <alignment horizontal="center" vertical="center"/>
    </xf>
    <xf numFmtId="0" fontId="8" fillId="3" borderId="56" xfId="0" applyFont="1" applyFill="1" applyBorder="1" applyAlignment="1">
      <alignment horizontal="center" vertical="center"/>
    </xf>
    <xf numFmtId="0" fontId="8" fillId="3" borderId="45" xfId="0" applyFont="1" applyFill="1" applyBorder="1" applyAlignment="1">
      <alignment horizontal="center" vertical="center"/>
    </xf>
    <xf numFmtId="0" fontId="8" fillId="7" borderId="1" xfId="0" applyFont="1" applyFill="1" applyBorder="1" applyAlignment="1">
      <alignment horizontal="center" vertical="center"/>
    </xf>
    <xf numFmtId="56" fontId="8" fillId="7" borderId="23" xfId="0" applyNumberFormat="1" applyFont="1" applyFill="1" applyBorder="1" applyAlignment="1">
      <alignment horizontal="center" vertical="center" wrapText="1"/>
    </xf>
    <xf numFmtId="56" fontId="8" fillId="7" borderId="43" xfId="0" applyNumberFormat="1" applyFont="1" applyFill="1" applyBorder="1" applyAlignment="1">
      <alignment horizontal="center" vertical="center" wrapText="1"/>
    </xf>
    <xf numFmtId="56" fontId="8" fillId="7" borderId="32" xfId="0" applyNumberFormat="1" applyFont="1" applyFill="1" applyBorder="1" applyAlignment="1">
      <alignment horizontal="center" vertical="center" wrapText="1"/>
    </xf>
    <xf numFmtId="56" fontId="8" fillId="7" borderId="2" xfId="0" applyNumberFormat="1" applyFont="1" applyFill="1" applyBorder="1" applyAlignment="1">
      <alignment horizontal="center" vertical="center"/>
    </xf>
    <xf numFmtId="56" fontId="8" fillId="7" borderId="3" xfId="0" applyNumberFormat="1" applyFont="1" applyFill="1" applyBorder="1" applyAlignment="1">
      <alignment horizontal="center" vertical="center"/>
    </xf>
    <xf numFmtId="56" fontId="8" fillId="7" borderId="4" xfId="0" applyNumberFormat="1" applyFont="1" applyFill="1" applyBorder="1" applyAlignment="1">
      <alignment horizontal="center" vertical="center"/>
    </xf>
    <xf numFmtId="0" fontId="8" fillId="7" borderId="44" xfId="0" applyFont="1" applyFill="1" applyBorder="1" applyAlignment="1">
      <alignment horizontal="center" vertical="center"/>
    </xf>
    <xf numFmtId="0" fontId="8" fillId="7" borderId="47" xfId="0" applyFont="1" applyFill="1" applyBorder="1" applyAlignment="1">
      <alignment horizontal="center" vertical="center"/>
    </xf>
    <xf numFmtId="0" fontId="8" fillId="0" borderId="44" xfId="0" applyFont="1" applyBorder="1" applyAlignment="1">
      <alignment horizontal="center" vertical="center"/>
    </xf>
    <xf numFmtId="0" fontId="8" fillId="0" borderId="0" xfId="0" applyFont="1" applyBorder="1" applyAlignment="1">
      <alignment horizontal="center" vertical="center"/>
    </xf>
    <xf numFmtId="0" fontId="8" fillId="0" borderId="47" xfId="0" applyFont="1" applyBorder="1" applyAlignment="1">
      <alignment horizontal="center" vertical="center"/>
    </xf>
    <xf numFmtId="0" fontId="8" fillId="0" borderId="56" xfId="0" applyFont="1" applyBorder="1" applyAlignment="1">
      <alignment horizontal="center" vertical="center"/>
    </xf>
    <xf numFmtId="0" fontId="8" fillId="0" borderId="45" xfId="0" applyFont="1" applyBorder="1" applyAlignment="1">
      <alignment horizontal="center" vertical="center"/>
    </xf>
    <xf numFmtId="0" fontId="8" fillId="0" borderId="37" xfId="0" applyFont="1" applyBorder="1" applyAlignment="1">
      <alignment horizontal="center" vertical="center"/>
    </xf>
    <xf numFmtId="56" fontId="8" fillId="11" borderId="2" xfId="0" applyNumberFormat="1" applyFont="1" applyFill="1" applyBorder="1" applyAlignment="1">
      <alignment horizontal="center" vertical="center"/>
    </xf>
    <xf numFmtId="56" fontId="8" fillId="11" borderId="3" xfId="0" applyNumberFormat="1" applyFont="1" applyFill="1" applyBorder="1" applyAlignment="1">
      <alignment horizontal="center" vertical="center"/>
    </xf>
    <xf numFmtId="56" fontId="8" fillId="11" borderId="4" xfId="0" applyNumberFormat="1" applyFont="1" applyFill="1" applyBorder="1" applyAlignment="1">
      <alignment horizontal="center" vertical="center"/>
    </xf>
    <xf numFmtId="56" fontId="8" fillId="3" borderId="2" xfId="0" applyNumberFormat="1" applyFont="1" applyFill="1" applyBorder="1" applyAlignment="1">
      <alignment horizontal="center" vertical="center"/>
    </xf>
    <xf numFmtId="56" fontId="8" fillId="3" borderId="3" xfId="0" applyNumberFormat="1" applyFont="1" applyFill="1" applyBorder="1" applyAlignment="1">
      <alignment horizontal="center" vertical="center"/>
    </xf>
    <xf numFmtId="56" fontId="8" fillId="3" borderId="4" xfId="0" applyNumberFormat="1" applyFont="1" applyFill="1" applyBorder="1" applyAlignment="1">
      <alignment horizontal="center" vertical="center"/>
    </xf>
    <xf numFmtId="0" fontId="8" fillId="7" borderId="0" xfId="0" applyFont="1" applyFill="1" applyBorder="1" applyAlignment="1">
      <alignment horizontal="center" vertical="center"/>
    </xf>
    <xf numFmtId="0" fontId="0" fillId="3" borderId="1" xfId="0" applyFill="1" applyBorder="1" applyAlignment="1">
      <alignment horizontal="center" vertical="center"/>
    </xf>
    <xf numFmtId="49" fontId="0" fillId="3" borderId="1" xfId="0" applyNumberFormat="1" applyFill="1" applyBorder="1" applyAlignment="1">
      <alignment horizontal="center" vertical="center"/>
    </xf>
    <xf numFmtId="0" fontId="0" fillId="3" borderId="1" xfId="0" applyFill="1" applyBorder="1" applyAlignment="1">
      <alignment horizontal="center" vertical="center" shrinkToFit="1"/>
    </xf>
    <xf numFmtId="0" fontId="8" fillId="3" borderId="23" xfId="0" applyFont="1" applyFill="1" applyBorder="1" applyAlignment="1">
      <alignment horizontal="center" vertical="center" wrapText="1"/>
    </xf>
    <xf numFmtId="0" fontId="8" fillId="3" borderId="32" xfId="0" applyFont="1" applyFill="1" applyBorder="1" applyAlignment="1">
      <alignment horizontal="center" vertical="center" wrapText="1"/>
    </xf>
    <xf numFmtId="49" fontId="0" fillId="7" borderId="23" xfId="0" applyNumberFormat="1" applyFill="1" applyBorder="1" applyAlignment="1">
      <alignment horizontal="center" vertical="center" wrapText="1"/>
    </xf>
    <xf numFmtId="49" fontId="0" fillId="7" borderId="43" xfId="0" applyNumberFormat="1" applyFill="1" applyBorder="1" applyAlignment="1">
      <alignment horizontal="center" vertical="center" wrapText="1"/>
    </xf>
    <xf numFmtId="49" fontId="0" fillId="7" borderId="32" xfId="0" applyNumberFormat="1" applyFill="1" applyBorder="1" applyAlignment="1">
      <alignment horizontal="center" vertical="center" wrapText="1"/>
    </xf>
    <xf numFmtId="49" fontId="0" fillId="3" borderId="1" xfId="0" applyNumberFormat="1" applyFill="1" applyBorder="1" applyAlignment="1">
      <alignment horizontal="center" vertical="center" wrapText="1"/>
    </xf>
    <xf numFmtId="0" fontId="0" fillId="7" borderId="1" xfId="0" applyFill="1" applyBorder="1" applyAlignment="1">
      <alignment horizontal="center" vertical="center"/>
    </xf>
    <xf numFmtId="0" fontId="8" fillId="7" borderId="23" xfId="0" applyFont="1" applyFill="1" applyBorder="1" applyAlignment="1">
      <alignment horizontal="center" vertical="center" wrapText="1"/>
    </xf>
    <xf numFmtId="0" fontId="8" fillId="7" borderId="32"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7" borderId="23" xfId="0" applyFont="1" applyFill="1" applyBorder="1" applyAlignment="1">
      <alignment horizontal="center" vertical="center"/>
    </xf>
    <xf numFmtId="49" fontId="8" fillId="7" borderId="2" xfId="0" applyNumberFormat="1" applyFont="1" applyFill="1" applyBorder="1" applyAlignment="1">
      <alignment horizontal="center" vertical="center"/>
    </xf>
    <xf numFmtId="49" fontId="8" fillId="7" borderId="3" xfId="0" applyNumberFormat="1" applyFont="1" applyFill="1" applyBorder="1" applyAlignment="1">
      <alignment horizontal="center" vertical="center"/>
    </xf>
    <xf numFmtId="49" fontId="8" fillId="7" borderId="4" xfId="0" applyNumberFormat="1" applyFont="1" applyFill="1" applyBorder="1" applyAlignment="1">
      <alignment horizontal="center" vertical="center"/>
    </xf>
    <xf numFmtId="0" fontId="8" fillId="3" borderId="23" xfId="0" applyFont="1" applyFill="1" applyBorder="1" applyAlignment="1">
      <alignment horizontal="center" vertical="center"/>
    </xf>
    <xf numFmtId="0" fontId="0" fillId="7" borderId="1" xfId="0" applyFill="1" applyBorder="1" applyAlignment="1">
      <alignment horizontal="center" vertical="center" wrapText="1"/>
    </xf>
    <xf numFmtId="0" fontId="0" fillId="7" borderId="2" xfId="0" applyFill="1" applyBorder="1" applyAlignment="1">
      <alignment horizontal="center" vertical="center"/>
    </xf>
    <xf numFmtId="0" fontId="0" fillId="7" borderId="3" xfId="0" applyFill="1" applyBorder="1" applyAlignment="1">
      <alignment horizontal="center" vertical="center"/>
    </xf>
    <xf numFmtId="0" fontId="0" fillId="7" borderId="4" xfId="0" applyFill="1" applyBorder="1" applyAlignment="1">
      <alignment horizontal="center" vertical="center"/>
    </xf>
    <xf numFmtId="49" fontId="0" fillId="7" borderId="23" xfId="0" applyNumberFormat="1" applyFill="1" applyBorder="1" applyAlignment="1">
      <alignment horizontal="center" vertical="center"/>
    </xf>
    <xf numFmtId="49" fontId="0" fillId="7" borderId="43" xfId="0" applyNumberFormat="1" applyFill="1" applyBorder="1" applyAlignment="1">
      <alignment horizontal="center" vertical="center"/>
    </xf>
    <xf numFmtId="49" fontId="0" fillId="7" borderId="32" xfId="0" applyNumberFormat="1" applyFill="1" applyBorder="1" applyAlignment="1">
      <alignment horizontal="center" vertical="center"/>
    </xf>
    <xf numFmtId="49" fontId="0" fillId="7" borderId="2" xfId="0" applyNumberFormat="1" applyFill="1" applyBorder="1" applyAlignment="1">
      <alignment horizontal="center" vertical="center"/>
    </xf>
    <xf numFmtId="49" fontId="0" fillId="7" borderId="3" xfId="0" applyNumberFormat="1" applyFill="1" applyBorder="1" applyAlignment="1">
      <alignment horizontal="center" vertical="center"/>
    </xf>
    <xf numFmtId="49" fontId="0" fillId="7" borderId="4" xfId="0" applyNumberFormat="1" applyFill="1" applyBorder="1" applyAlignment="1">
      <alignment horizontal="center" vertical="center"/>
    </xf>
    <xf numFmtId="49" fontId="3" fillId="3" borderId="1" xfId="0" applyNumberFormat="1" applyFont="1" applyFill="1" applyBorder="1" applyAlignment="1">
      <alignment horizontal="center" vertical="center"/>
    </xf>
    <xf numFmtId="49" fontId="8" fillId="3" borderId="56" xfId="0" applyNumberFormat="1" applyFont="1" applyFill="1" applyBorder="1" applyAlignment="1">
      <alignment horizontal="center" vertical="center"/>
    </xf>
    <xf numFmtId="49" fontId="8" fillId="3" borderId="45" xfId="0" applyNumberFormat="1" applyFont="1" applyFill="1" applyBorder="1" applyAlignment="1">
      <alignment horizontal="center" vertical="center"/>
    </xf>
    <xf numFmtId="49" fontId="8" fillId="3" borderId="37" xfId="0" applyNumberFormat="1" applyFont="1" applyFill="1" applyBorder="1" applyAlignment="1">
      <alignment horizontal="center" vertical="center"/>
    </xf>
    <xf numFmtId="49" fontId="8" fillId="3" borderId="32" xfId="0" applyNumberFormat="1" applyFont="1" applyFill="1" applyBorder="1" applyAlignment="1">
      <alignment horizontal="center" vertical="center"/>
    </xf>
  </cellXfs>
  <cellStyles count="3">
    <cellStyle name="ハイパーリンク" xfId="2" builtinId="8"/>
    <cellStyle name="標準" xfId="0" builtinId="0"/>
    <cellStyle name="標準 2" xfId="1" xr:uid="{A038BE7D-8D2A-457A-992E-721F9F8708AD}"/>
  </cellStyles>
  <dxfs count="71">
    <dxf>
      <font>
        <color theme="0"/>
      </font>
    </dxf>
    <dxf>
      <font>
        <color theme="0"/>
      </font>
    </dxf>
    <dxf>
      <font>
        <color theme="0"/>
      </font>
    </dxf>
    <dxf>
      <font>
        <color theme="0"/>
      </font>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color theme="1"/>
      </font>
      <fill>
        <patternFill>
          <bgColor theme="1"/>
        </patternFill>
      </fill>
    </dxf>
    <dxf>
      <fill>
        <patternFill>
          <bgColor theme="1" tint="4.9989318521683403E-2"/>
        </patternFill>
      </fill>
    </dxf>
    <dxf>
      <fill>
        <patternFill>
          <bgColor theme="1" tint="4.9989318521683403E-2"/>
        </patternFill>
      </fill>
    </dxf>
    <dxf>
      <fill>
        <patternFill>
          <bgColor theme="1" tint="4.9989318521683403E-2"/>
        </patternFill>
      </fill>
    </dxf>
  </dxfs>
  <tableStyles count="0" defaultTableStyle="TableStyleMedium2" defaultPivotStyle="PivotStyleLight16"/>
  <colors>
    <mruColors>
      <color rgb="FFCCFFCC"/>
      <color rgb="FFCCCC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69850</xdr:colOff>
      <xdr:row>6</xdr:row>
      <xdr:rowOff>132521</xdr:rowOff>
    </xdr:from>
    <xdr:to>
      <xdr:col>15</xdr:col>
      <xdr:colOff>304800</xdr:colOff>
      <xdr:row>7</xdr:row>
      <xdr:rowOff>1292087</xdr:rowOff>
    </xdr:to>
    <xdr:sp macro="" textlink="">
      <xdr:nvSpPr>
        <xdr:cNvPr id="2" name="四角形: 角を丸くする 1">
          <a:extLst>
            <a:ext uri="{FF2B5EF4-FFF2-40B4-BE49-F238E27FC236}">
              <a16:creationId xmlns:a16="http://schemas.microsoft.com/office/drawing/2014/main" id="{00000000-0008-0000-0000-000002000000}"/>
            </a:ext>
          </a:extLst>
        </xdr:cNvPr>
        <xdr:cNvSpPr/>
      </xdr:nvSpPr>
      <xdr:spPr>
        <a:xfrm>
          <a:off x="69850" y="2186608"/>
          <a:ext cx="6695385" cy="1366631"/>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latin typeface="ＭＳ Ｐゴシック" panose="020B0600070205080204" pitchFamily="50" charset="-128"/>
              <a:ea typeface="ＭＳ Ｐゴシック" panose="020B0600070205080204" pitchFamily="50" charset="-128"/>
            </a:rPr>
            <a:t>◆水色に色付けされたセルにご記入をお願いします。</a:t>
          </a:r>
          <a:br>
            <a:rPr kumimoji="1" lang="en-US" altLang="ja-JP" sz="1100">
              <a:latin typeface="ＭＳ Ｐゴシック" panose="020B0600070205080204" pitchFamily="50" charset="-128"/>
              <a:ea typeface="ＭＳ Ｐゴシック" panose="020B0600070205080204" pitchFamily="50" charset="-128"/>
            </a:rPr>
          </a:br>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u="sng">
              <a:latin typeface="ＭＳ Ｐゴシック" panose="020B0600070205080204" pitchFamily="50" charset="-128"/>
              <a:ea typeface="ＭＳ Ｐゴシック" panose="020B0600070205080204" pitchFamily="50" charset="-128"/>
            </a:rPr>
            <a:t>　（入力が不要なセルには、自動的に黒く色付けされます。）</a:t>
          </a:r>
          <a:endParaRPr kumimoji="1" lang="en-US" altLang="ja-JP" sz="1100" u="sng">
            <a:latin typeface="ＭＳ Ｐゴシック" panose="020B0600070205080204" pitchFamily="50" charset="-128"/>
            <a:ea typeface="ＭＳ Ｐゴシック" panose="020B0600070205080204" pitchFamily="50" charset="-128"/>
          </a:endParaRPr>
        </a:p>
        <a:p>
          <a:pPr algn="l"/>
          <a:r>
            <a:rPr kumimoji="1" lang="ja-JP" altLang="en-US" sz="1100">
              <a:latin typeface="ＭＳ Ｐゴシック" panose="020B0600070205080204" pitchFamily="50" charset="-128"/>
              <a:ea typeface="ＭＳ Ｐゴシック" panose="020B0600070205080204" pitchFamily="50" charset="-128"/>
            </a:rPr>
            <a:t>◆当てはまる選択肢に✓を入れるか、該当する内容をご記入ください。</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ja-JP" altLang="en-US" sz="1100">
              <a:latin typeface="ＭＳ Ｐゴシック" panose="020B0600070205080204" pitchFamily="50" charset="-128"/>
              <a:ea typeface="ＭＳ Ｐゴシック" panose="020B0600070205080204" pitchFamily="50" charset="-128"/>
            </a:rPr>
            <a:t>◆特に期日等の指定のない質問については、記入日時点の状況をご回答ください。</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ja-JP" altLang="en-US" sz="1100">
              <a:latin typeface="ＭＳ Ｐゴシック" panose="020B0600070205080204" pitchFamily="50" charset="-128"/>
              <a:ea typeface="ＭＳ Ｐゴシック" panose="020B0600070205080204" pitchFamily="50" charset="-128"/>
            </a:rPr>
            <a:t>◆調査表は、やまぐちナースネットからダウンロードできます。</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en-US" altLang="ja-JP" sz="1100">
              <a:latin typeface="ＭＳ Ｐゴシック" panose="020B0600070205080204" pitchFamily="50" charset="-128"/>
              <a:ea typeface="ＭＳ Ｐゴシック" panose="020B0600070205080204" pitchFamily="50" charset="-128"/>
            </a:rPr>
            <a:t>   URL</a:t>
          </a: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https://www.pref.yamaguchi-nurse-net.jp/news</a:t>
          </a:r>
        </a:p>
      </xdr:txBody>
    </xdr:sp>
    <xdr:clientData/>
  </xdr:twoCellAnchor>
  <xdr:twoCellAnchor>
    <xdr:from>
      <xdr:col>7</xdr:col>
      <xdr:colOff>123825</xdr:colOff>
      <xdr:row>239</xdr:row>
      <xdr:rowOff>114300</xdr:rowOff>
    </xdr:from>
    <xdr:to>
      <xdr:col>7</xdr:col>
      <xdr:colOff>333375</xdr:colOff>
      <xdr:row>241</xdr:row>
      <xdr:rowOff>161925</xdr:rowOff>
    </xdr:to>
    <xdr:sp macro="" textlink="">
      <xdr:nvSpPr>
        <xdr:cNvPr id="4" name="右中かっこ 3">
          <a:extLst>
            <a:ext uri="{FF2B5EF4-FFF2-40B4-BE49-F238E27FC236}">
              <a16:creationId xmlns:a16="http://schemas.microsoft.com/office/drawing/2014/main" id="{3C359A5D-1108-45E6-AC69-A67BCCFA6963}"/>
            </a:ext>
          </a:extLst>
        </xdr:cNvPr>
        <xdr:cNvSpPr/>
      </xdr:nvSpPr>
      <xdr:spPr>
        <a:xfrm>
          <a:off x="3124200" y="71656575"/>
          <a:ext cx="209550" cy="5429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139700</xdr:colOff>
      <xdr:row>0</xdr:row>
      <xdr:rowOff>82550</xdr:rowOff>
    </xdr:from>
    <xdr:to>
      <xdr:col>15</xdr:col>
      <xdr:colOff>120650</xdr:colOff>
      <xdr:row>0</xdr:row>
      <xdr:rowOff>495300</xdr:rowOff>
    </xdr:to>
    <xdr:sp macro="" textlink="">
      <xdr:nvSpPr>
        <xdr:cNvPr id="2" name="四角形: 角を丸くする 1">
          <a:extLst>
            <a:ext uri="{FF2B5EF4-FFF2-40B4-BE49-F238E27FC236}">
              <a16:creationId xmlns:a16="http://schemas.microsoft.com/office/drawing/2014/main" id="{49BDE987-69DB-4C8A-AFC9-D1945F8C420A}"/>
            </a:ext>
          </a:extLst>
        </xdr:cNvPr>
        <xdr:cNvSpPr/>
      </xdr:nvSpPr>
      <xdr:spPr>
        <a:xfrm>
          <a:off x="139700" y="82550"/>
          <a:ext cx="4914900" cy="412750"/>
        </a:xfrm>
        <a:prstGeom prst="round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latin typeface="ＭＳ Ｐゴシック" panose="020B0600070205080204" pitchFamily="50" charset="-128"/>
              <a:ea typeface="ＭＳ Ｐゴシック" panose="020B0600070205080204" pitchFamily="50" charset="-128"/>
            </a:rPr>
            <a:t>集計作業用のシートです。入力しないようお願いします。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228600</xdr:colOff>
      <xdr:row>0</xdr:row>
      <xdr:rowOff>82550</xdr:rowOff>
    </xdr:from>
    <xdr:to>
      <xdr:col>10</xdr:col>
      <xdr:colOff>654050</xdr:colOff>
      <xdr:row>0</xdr:row>
      <xdr:rowOff>495300</xdr:rowOff>
    </xdr:to>
    <xdr:sp macro="" textlink="">
      <xdr:nvSpPr>
        <xdr:cNvPr id="4" name="四角形: 角を丸くする 3">
          <a:extLst>
            <a:ext uri="{FF2B5EF4-FFF2-40B4-BE49-F238E27FC236}">
              <a16:creationId xmlns:a16="http://schemas.microsoft.com/office/drawing/2014/main" id="{E99932D0-38B9-4A24-A18E-157549F104E1}"/>
            </a:ext>
          </a:extLst>
        </xdr:cNvPr>
        <xdr:cNvSpPr/>
      </xdr:nvSpPr>
      <xdr:spPr>
        <a:xfrm>
          <a:off x="228600" y="82550"/>
          <a:ext cx="4787900" cy="412750"/>
        </a:xfrm>
        <a:prstGeom prst="roundRect">
          <a:avLst/>
        </a:prstGeom>
        <a:solidFill>
          <a:srgbClr val="FF0000"/>
        </a:solidFill>
        <a:ln w="12700" cap="flat" cmpd="sng" algn="ctr">
          <a:solidFill>
            <a:srgbClr val="4472C4">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集計作業用のシートです。入力しないようお願いします。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11700@pref.yamaguchi.lg.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1EA1F-D57B-4500-A2C9-BD6A5B69BBFC}">
  <sheetPr>
    <tabColor rgb="FFFF0000"/>
    <pageSetUpPr fitToPage="1"/>
  </sheetPr>
  <dimension ref="A1:AM252"/>
  <sheetViews>
    <sheetView tabSelected="1" view="pageBreakPreview" zoomScale="115" zoomScaleNormal="100" zoomScaleSheetLayoutView="115" workbookViewId="0">
      <selection activeCell="M9" sqref="M9:P9"/>
    </sheetView>
  </sheetViews>
  <sheetFormatPr defaultRowHeight="18"/>
  <cols>
    <col min="1" max="16" width="5.58203125" customWidth="1"/>
    <col min="23" max="24" width="29" customWidth="1"/>
    <col min="25" max="25" width="30" customWidth="1"/>
  </cols>
  <sheetData>
    <row r="1" spans="1:17" ht="36.75" customHeight="1">
      <c r="A1" s="403" t="s">
        <v>303</v>
      </c>
      <c r="B1" s="403"/>
      <c r="C1" s="403"/>
      <c r="D1" s="403"/>
      <c r="E1" s="403"/>
      <c r="F1" s="403"/>
      <c r="G1" s="403"/>
      <c r="H1" s="403"/>
      <c r="I1" s="403"/>
      <c r="J1" s="403"/>
      <c r="K1" s="403"/>
      <c r="L1" s="403"/>
      <c r="M1" s="403"/>
      <c r="N1" s="403"/>
      <c r="O1" s="403"/>
      <c r="P1" s="403"/>
    </row>
    <row r="2" spans="1:17" ht="33.75" customHeight="1" thickBot="1">
      <c r="A2" s="567" t="s">
        <v>121</v>
      </c>
      <c r="B2" s="567"/>
      <c r="C2" s="567"/>
      <c r="D2" s="567"/>
      <c r="E2" s="567"/>
      <c r="F2" s="567"/>
      <c r="G2" s="567"/>
      <c r="H2" s="567"/>
      <c r="I2" s="567"/>
      <c r="J2" s="567"/>
      <c r="K2" s="567"/>
      <c r="L2" s="567"/>
      <c r="M2" s="567"/>
      <c r="N2" s="567"/>
      <c r="O2" s="567"/>
      <c r="P2" s="567"/>
    </row>
    <row r="3" spans="1:17" s="63" customFormat="1" ht="22.5" customHeight="1">
      <c r="A3" s="526" t="s">
        <v>115</v>
      </c>
      <c r="B3" s="527"/>
      <c r="C3" s="527"/>
      <c r="D3" s="527"/>
      <c r="E3" s="527" t="s">
        <v>117</v>
      </c>
      <c r="F3" s="527"/>
      <c r="G3" s="527"/>
      <c r="H3" s="527"/>
      <c r="I3" s="527"/>
      <c r="J3" s="527"/>
      <c r="K3" s="527"/>
      <c r="L3" s="527"/>
      <c r="M3" s="527"/>
      <c r="N3" s="527"/>
      <c r="O3" s="527"/>
      <c r="P3" s="530"/>
      <c r="Q3" s="64"/>
    </row>
    <row r="4" spans="1:17" s="63" customFormat="1" ht="22.5" customHeight="1">
      <c r="A4" s="528" t="s">
        <v>116</v>
      </c>
      <c r="B4" s="529"/>
      <c r="C4" s="529"/>
      <c r="D4" s="529"/>
      <c r="E4" s="531" t="s">
        <v>119</v>
      </c>
      <c r="F4" s="532"/>
      <c r="G4" s="532"/>
      <c r="H4" s="532"/>
      <c r="I4" s="532"/>
      <c r="J4" s="532"/>
      <c r="K4" s="532"/>
      <c r="L4" s="532"/>
      <c r="M4" s="532"/>
      <c r="N4" s="532"/>
      <c r="O4" s="532"/>
      <c r="P4" s="533"/>
      <c r="Q4" s="65"/>
    </row>
    <row r="5" spans="1:17" s="63" customFormat="1" ht="22.5" customHeight="1">
      <c r="A5" s="528" t="s">
        <v>212</v>
      </c>
      <c r="B5" s="529"/>
      <c r="C5" s="529"/>
      <c r="D5" s="529"/>
      <c r="E5" s="570" t="s">
        <v>237</v>
      </c>
      <c r="F5" s="570"/>
      <c r="G5" s="570"/>
      <c r="H5" s="570"/>
      <c r="I5" s="570"/>
      <c r="J5" s="570"/>
      <c r="K5" s="570"/>
      <c r="L5" s="570"/>
      <c r="M5" s="570"/>
      <c r="N5" s="570"/>
      <c r="O5" s="570"/>
      <c r="P5" s="571"/>
      <c r="Q5" s="65"/>
    </row>
    <row r="6" spans="1:17" s="63" customFormat="1" ht="22.5" customHeight="1" thickBot="1">
      <c r="A6" s="572" t="s">
        <v>118</v>
      </c>
      <c r="B6" s="573"/>
      <c r="C6" s="573"/>
      <c r="D6" s="573"/>
      <c r="E6" s="574">
        <v>45918</v>
      </c>
      <c r="F6" s="575"/>
      <c r="G6" s="575"/>
      <c r="H6" s="575"/>
      <c r="I6" s="575"/>
      <c r="J6" s="575"/>
      <c r="K6" s="575"/>
      <c r="L6" s="575"/>
      <c r="M6" s="575"/>
      <c r="N6" s="575"/>
      <c r="O6" s="575"/>
      <c r="P6" s="576"/>
    </row>
    <row r="7" spans="1:17" s="63" customFormat="1" ht="17.149999999999999" customHeight="1">
      <c r="A7" s="31"/>
      <c r="B7" s="31"/>
      <c r="C7" s="31"/>
      <c r="D7" s="31"/>
      <c r="E7" s="31"/>
      <c r="F7" s="31"/>
      <c r="G7" s="31"/>
      <c r="H7" s="31"/>
      <c r="I7" s="31"/>
      <c r="J7" s="31"/>
      <c r="K7" s="31"/>
      <c r="L7" s="31"/>
      <c r="M7" s="31"/>
      <c r="N7" s="31"/>
      <c r="O7" s="31"/>
      <c r="P7" s="31"/>
    </row>
    <row r="8" spans="1:17" ht="116.25" customHeight="1" thickBot="1">
      <c r="A8" s="18"/>
      <c r="B8" s="18"/>
      <c r="C8" s="18"/>
      <c r="D8" s="18"/>
      <c r="E8" s="18"/>
      <c r="F8" s="18"/>
      <c r="G8" s="18"/>
      <c r="H8" s="18"/>
      <c r="I8" s="18"/>
      <c r="J8" s="18"/>
      <c r="K8" s="18"/>
      <c r="L8" s="18"/>
      <c r="M8" s="18"/>
      <c r="N8" s="18"/>
      <c r="O8" s="18"/>
      <c r="P8" s="18"/>
    </row>
    <row r="9" spans="1:17" ht="26.15" customHeight="1" thickBot="1">
      <c r="A9" s="25"/>
      <c r="B9" s="25"/>
      <c r="C9" s="25"/>
      <c r="D9" s="25"/>
      <c r="E9" s="25"/>
      <c r="F9" s="25"/>
      <c r="G9" s="25"/>
      <c r="J9" s="106"/>
      <c r="K9" s="534" t="s">
        <v>29</v>
      </c>
      <c r="L9" s="535"/>
      <c r="M9" s="568" t="s">
        <v>564</v>
      </c>
      <c r="N9" s="568"/>
      <c r="O9" s="568"/>
      <c r="P9" s="569"/>
    </row>
    <row r="10" spans="1:17" ht="13.5" customHeight="1">
      <c r="A10" s="25"/>
      <c r="B10" s="25"/>
      <c r="C10" s="25"/>
      <c r="D10" s="25"/>
      <c r="E10" s="25"/>
      <c r="F10" s="25"/>
      <c r="G10" s="25"/>
      <c r="H10" s="24"/>
      <c r="I10" s="24"/>
      <c r="J10" s="24"/>
      <c r="K10" s="24"/>
      <c r="L10" s="24"/>
      <c r="M10" s="24"/>
      <c r="N10" s="24"/>
      <c r="O10" s="24"/>
      <c r="P10" s="24"/>
    </row>
    <row r="11" spans="1:17" ht="25.5" customHeight="1">
      <c r="A11" s="4" t="s">
        <v>120</v>
      </c>
      <c r="B11" s="4"/>
      <c r="C11" s="4"/>
      <c r="D11" s="4"/>
      <c r="E11" s="4"/>
      <c r="F11" s="4"/>
      <c r="G11" s="4"/>
      <c r="H11" s="4"/>
      <c r="I11" s="4"/>
      <c r="J11" s="4"/>
      <c r="K11" s="4"/>
      <c r="L11" s="4"/>
      <c r="M11" s="4"/>
      <c r="N11" s="4"/>
      <c r="O11" s="4"/>
      <c r="P11" s="4"/>
    </row>
    <row r="12" spans="1:17" ht="30" customHeight="1" thickBot="1">
      <c r="A12" s="5" t="s">
        <v>537</v>
      </c>
      <c r="B12" s="5"/>
      <c r="C12" s="5"/>
      <c r="D12" s="5"/>
      <c r="E12" s="5"/>
      <c r="F12" s="5"/>
      <c r="G12" s="5"/>
      <c r="H12" s="5"/>
      <c r="I12" s="5"/>
      <c r="J12" s="5"/>
      <c r="K12" s="5"/>
      <c r="L12" s="3"/>
      <c r="M12" s="3"/>
      <c r="N12" s="3"/>
      <c r="O12" s="3"/>
      <c r="P12" s="3"/>
    </row>
    <row r="13" spans="1:17" ht="20.25" customHeight="1">
      <c r="A13" s="544" t="s">
        <v>538</v>
      </c>
      <c r="B13" s="545"/>
      <c r="C13" s="545"/>
      <c r="D13" s="545"/>
      <c r="E13" s="546"/>
      <c r="F13" s="547"/>
      <c r="G13" s="547"/>
      <c r="H13" s="547"/>
      <c r="I13" s="547"/>
      <c r="J13" s="547"/>
      <c r="K13" s="548"/>
      <c r="L13" s="548"/>
      <c r="M13" s="548"/>
      <c r="N13" s="548"/>
      <c r="O13" s="548"/>
      <c r="P13" s="549"/>
    </row>
    <row r="14" spans="1:17" ht="20.25" customHeight="1">
      <c r="A14" s="540" t="s">
        <v>231</v>
      </c>
      <c r="B14" s="541"/>
      <c r="C14" s="541"/>
      <c r="D14" s="550"/>
      <c r="E14" s="490"/>
      <c r="F14" s="551"/>
      <c r="G14" s="551"/>
      <c r="H14" s="551"/>
      <c r="I14" s="551"/>
      <c r="J14" s="491"/>
      <c r="K14" s="550" t="s">
        <v>1</v>
      </c>
      <c r="L14" s="542"/>
      <c r="M14" s="490"/>
      <c r="N14" s="551"/>
      <c r="O14" s="551"/>
      <c r="P14" s="552"/>
    </row>
    <row r="15" spans="1:17" ht="20.25" customHeight="1" thickBot="1">
      <c r="A15" s="559" t="s">
        <v>2</v>
      </c>
      <c r="B15" s="560"/>
      <c r="C15" s="560"/>
      <c r="D15" s="561"/>
      <c r="E15" s="536"/>
      <c r="F15" s="536"/>
      <c r="G15" s="536"/>
      <c r="H15" s="536"/>
      <c r="I15" s="536"/>
      <c r="J15" s="536"/>
      <c r="K15" s="493" t="s">
        <v>3</v>
      </c>
      <c r="L15" s="493"/>
      <c r="M15" s="536"/>
      <c r="N15" s="536"/>
      <c r="O15" s="536"/>
      <c r="P15" s="537"/>
    </row>
    <row r="16" spans="1:17" ht="16.5" customHeight="1">
      <c r="A16" s="101" t="s">
        <v>276</v>
      </c>
      <c r="B16" s="26"/>
      <c r="C16" s="26"/>
      <c r="D16" s="26"/>
      <c r="E16" s="26"/>
      <c r="F16" s="26"/>
      <c r="G16" s="26"/>
      <c r="H16" s="26"/>
      <c r="I16" s="26"/>
      <c r="J16" s="26"/>
      <c r="K16" s="26"/>
      <c r="L16" s="26"/>
      <c r="M16" s="26"/>
      <c r="N16" s="26"/>
      <c r="O16" s="26"/>
      <c r="P16" s="26"/>
    </row>
    <row r="17" spans="1:16" s="172" customFormat="1" ht="7.5" customHeight="1">
      <c r="A17" s="101"/>
      <c r="B17" s="26"/>
      <c r="C17" s="26"/>
      <c r="D17" s="26"/>
      <c r="E17" s="26"/>
      <c r="F17" s="26"/>
      <c r="G17" s="26"/>
      <c r="H17" s="26"/>
      <c r="I17" s="26"/>
      <c r="J17" s="26"/>
      <c r="K17" s="26"/>
      <c r="L17" s="26"/>
      <c r="M17" s="26"/>
      <c r="N17" s="26"/>
      <c r="O17" s="26"/>
      <c r="P17" s="26"/>
    </row>
    <row r="18" spans="1:16" ht="24.75" customHeight="1">
      <c r="A18" s="4" t="s">
        <v>488</v>
      </c>
      <c r="B18" s="4"/>
      <c r="C18" s="4"/>
      <c r="D18" s="4"/>
      <c r="E18" s="4"/>
      <c r="F18" s="4"/>
      <c r="G18" s="4"/>
      <c r="H18" s="4"/>
      <c r="I18" s="4"/>
      <c r="J18" s="4"/>
      <c r="K18" s="4"/>
      <c r="L18" s="4"/>
      <c r="M18" s="4"/>
      <c r="N18" s="4"/>
      <c r="O18" s="4"/>
      <c r="P18" s="4"/>
    </row>
    <row r="19" spans="1:16" ht="25.5" customHeight="1" thickBot="1">
      <c r="A19" s="558" t="s">
        <v>304</v>
      </c>
      <c r="B19" s="558"/>
      <c r="C19" s="558"/>
      <c r="D19" s="558"/>
      <c r="E19" s="558"/>
      <c r="F19" s="558"/>
      <c r="G19" s="558"/>
      <c r="H19" s="558"/>
      <c r="I19" s="558"/>
      <c r="J19" s="558"/>
      <c r="K19" s="558"/>
      <c r="L19" s="558"/>
      <c r="M19" s="558"/>
      <c r="N19" s="558"/>
      <c r="O19" s="558"/>
      <c r="P19" s="558"/>
    </row>
    <row r="20" spans="1:16" ht="20.149999999999999" customHeight="1">
      <c r="A20" s="538"/>
      <c r="B20" s="539"/>
      <c r="C20" s="539"/>
      <c r="D20" s="539"/>
      <c r="E20" s="582" t="s">
        <v>20</v>
      </c>
      <c r="F20" s="583"/>
      <c r="G20" s="583"/>
      <c r="H20" s="583"/>
      <c r="I20" s="584" t="s">
        <v>21</v>
      </c>
      <c r="J20" s="584"/>
      <c r="K20" s="584"/>
      <c r="L20" s="585"/>
      <c r="M20" s="556" t="s">
        <v>30</v>
      </c>
      <c r="N20" s="405"/>
      <c r="O20" s="405"/>
      <c r="P20" s="557"/>
    </row>
    <row r="21" spans="1:16" ht="20.149999999999999" customHeight="1">
      <c r="A21" s="540"/>
      <c r="B21" s="541"/>
      <c r="C21" s="541"/>
      <c r="D21" s="541"/>
      <c r="E21" s="542" t="s">
        <v>9</v>
      </c>
      <c r="F21" s="541"/>
      <c r="G21" s="541" t="s">
        <v>22</v>
      </c>
      <c r="H21" s="541"/>
      <c r="I21" s="543" t="s">
        <v>9</v>
      </c>
      <c r="J21" s="543"/>
      <c r="K21" s="543" t="s">
        <v>22</v>
      </c>
      <c r="L21" s="553"/>
      <c r="M21" s="554" t="s">
        <v>9</v>
      </c>
      <c r="N21" s="543"/>
      <c r="O21" s="543" t="s">
        <v>31</v>
      </c>
      <c r="P21" s="555"/>
    </row>
    <row r="22" spans="1:16" ht="20.149999999999999" customHeight="1">
      <c r="A22" s="566" t="s">
        <v>32</v>
      </c>
      <c r="B22" s="452" t="s">
        <v>4</v>
      </c>
      <c r="C22" s="450"/>
      <c r="D22" s="451"/>
      <c r="E22" s="580"/>
      <c r="F22" s="512"/>
      <c r="G22" s="512"/>
      <c r="H22" s="512"/>
      <c r="I22" s="511"/>
      <c r="J22" s="511"/>
      <c r="K22" s="511"/>
      <c r="L22" s="581"/>
      <c r="M22" s="577">
        <f>E22+I22</f>
        <v>0</v>
      </c>
      <c r="N22" s="578"/>
      <c r="O22" s="519">
        <f>G22+K22</f>
        <v>0</v>
      </c>
      <c r="P22" s="520"/>
    </row>
    <row r="23" spans="1:16" ht="20.149999999999999" customHeight="1">
      <c r="A23" s="566"/>
      <c r="B23" s="550" t="s">
        <v>5</v>
      </c>
      <c r="C23" s="562"/>
      <c r="D23" s="542"/>
      <c r="E23" s="491"/>
      <c r="F23" s="511"/>
      <c r="G23" s="490"/>
      <c r="H23" s="491"/>
      <c r="I23" s="511"/>
      <c r="J23" s="511"/>
      <c r="K23" s="512"/>
      <c r="L23" s="513"/>
      <c r="M23" s="579">
        <f>E23+I23</f>
        <v>0</v>
      </c>
      <c r="N23" s="577"/>
      <c r="O23" s="519">
        <f>G23+K23</f>
        <v>0</v>
      </c>
      <c r="P23" s="520"/>
    </row>
    <row r="24" spans="1:16" ht="20.149999999999999" customHeight="1">
      <c r="A24" s="566"/>
      <c r="B24" s="550" t="s">
        <v>6</v>
      </c>
      <c r="C24" s="562"/>
      <c r="D24" s="542"/>
      <c r="E24" s="491"/>
      <c r="F24" s="511"/>
      <c r="G24" s="490"/>
      <c r="H24" s="491"/>
      <c r="I24" s="511"/>
      <c r="J24" s="511"/>
      <c r="K24" s="512"/>
      <c r="L24" s="513"/>
      <c r="M24" s="579">
        <f>E24+I24</f>
        <v>0</v>
      </c>
      <c r="N24" s="577"/>
      <c r="O24" s="519">
        <f>G24+K24</f>
        <v>0</v>
      </c>
      <c r="P24" s="520"/>
    </row>
    <row r="25" spans="1:16" ht="20.149999999999999" customHeight="1" thickBot="1">
      <c r="A25" s="566"/>
      <c r="B25" s="563" t="s">
        <v>7</v>
      </c>
      <c r="C25" s="564"/>
      <c r="D25" s="565"/>
      <c r="E25" s="488"/>
      <c r="F25" s="489"/>
      <c r="G25" s="490"/>
      <c r="H25" s="491"/>
      <c r="I25" s="489"/>
      <c r="J25" s="489"/>
      <c r="K25" s="514"/>
      <c r="L25" s="515"/>
      <c r="M25" s="516">
        <f>E25+I25</f>
        <v>0</v>
      </c>
      <c r="N25" s="517"/>
      <c r="O25" s="521">
        <f>G25+K25</f>
        <v>0</v>
      </c>
      <c r="P25" s="522"/>
    </row>
    <row r="26" spans="1:16" ht="20.149999999999999" customHeight="1" thickTop="1">
      <c r="A26" s="566"/>
      <c r="B26" s="503" t="s">
        <v>30</v>
      </c>
      <c r="C26" s="504"/>
      <c r="D26" s="505"/>
      <c r="E26" s="499">
        <f t="shared" ref="E26" si="0">SUM(E22:E25)</f>
        <v>0</v>
      </c>
      <c r="F26" s="500"/>
      <c r="G26" s="501">
        <f t="shared" ref="G26" si="1">SUM(G22:G25)</f>
        <v>0</v>
      </c>
      <c r="H26" s="501"/>
      <c r="I26" s="499">
        <f t="shared" ref="I26" si="2">SUM(I22:I25)</f>
        <v>0</v>
      </c>
      <c r="J26" s="500"/>
      <c r="K26" s="501">
        <f>SUM(K22:K25)</f>
        <v>0</v>
      </c>
      <c r="L26" s="502"/>
      <c r="M26" s="506">
        <f>SUM(M22:M25)</f>
        <v>0</v>
      </c>
      <c r="N26" s="507"/>
      <c r="O26" s="524">
        <f>SUM(O22:O25)</f>
        <v>0</v>
      </c>
      <c r="P26" s="525"/>
    </row>
    <row r="27" spans="1:16" ht="20.149999999999999" customHeight="1" thickBot="1">
      <c r="A27" s="492" t="s">
        <v>8</v>
      </c>
      <c r="B27" s="493"/>
      <c r="C27" s="493"/>
      <c r="D27" s="494"/>
      <c r="E27" s="495"/>
      <c r="F27" s="496"/>
      <c r="G27" s="497"/>
      <c r="H27" s="497"/>
      <c r="I27" s="495"/>
      <c r="J27" s="496"/>
      <c r="K27" s="497"/>
      <c r="L27" s="498"/>
      <c r="M27" s="509">
        <f>E27+I27</f>
        <v>0</v>
      </c>
      <c r="N27" s="518"/>
      <c r="O27" s="523">
        <f>G27+K27</f>
        <v>0</v>
      </c>
      <c r="P27" s="510"/>
    </row>
    <row r="28" spans="1:16" ht="16.5" customHeight="1">
      <c r="A28" s="3" t="s">
        <v>10</v>
      </c>
      <c r="B28" s="3"/>
      <c r="C28" s="3"/>
      <c r="D28" s="3"/>
      <c r="E28" s="3"/>
      <c r="F28" s="3"/>
      <c r="G28" s="3"/>
      <c r="H28" s="3"/>
      <c r="I28" s="3"/>
      <c r="J28" s="3"/>
      <c r="K28" s="3"/>
      <c r="L28" s="22"/>
      <c r="M28" s="22"/>
      <c r="N28" s="22"/>
      <c r="O28" s="6"/>
      <c r="P28" s="6"/>
    </row>
    <row r="29" spans="1:16" ht="16.5" customHeight="1">
      <c r="A29" s="3" t="s">
        <v>11</v>
      </c>
      <c r="B29" s="3"/>
      <c r="C29" s="3"/>
      <c r="D29" s="3"/>
      <c r="E29" s="3"/>
      <c r="F29" s="3"/>
      <c r="G29" s="3"/>
      <c r="H29" s="3"/>
      <c r="I29" s="3"/>
      <c r="J29" s="3"/>
      <c r="K29" s="3"/>
      <c r="L29" s="3"/>
      <c r="M29" s="3"/>
      <c r="N29" s="3"/>
      <c r="O29" s="6"/>
      <c r="P29" s="6"/>
    </row>
    <row r="30" spans="1:16" ht="29.5" customHeight="1">
      <c r="A30" s="485" t="s">
        <v>252</v>
      </c>
      <c r="B30" s="485"/>
      <c r="C30" s="485"/>
      <c r="D30" s="485"/>
      <c r="E30" s="485"/>
      <c r="F30" s="485"/>
      <c r="G30" s="485"/>
      <c r="H30" s="485"/>
      <c r="I30" s="485"/>
      <c r="J30" s="485"/>
      <c r="K30" s="485"/>
      <c r="L30" s="485"/>
      <c r="M30" s="485"/>
      <c r="N30" s="485"/>
      <c r="O30" s="485"/>
      <c r="P30" s="485"/>
    </row>
    <row r="31" spans="1:16" ht="9.65" customHeight="1">
      <c r="A31" s="3"/>
      <c r="B31" s="3"/>
      <c r="C31" s="3"/>
      <c r="D31" s="3"/>
      <c r="E31" s="3"/>
      <c r="F31" s="3"/>
      <c r="G31" s="3"/>
      <c r="H31" s="3"/>
      <c r="I31" s="3"/>
      <c r="J31" s="3"/>
      <c r="K31" s="3"/>
      <c r="L31" s="3"/>
      <c r="M31" s="3"/>
      <c r="N31" s="3"/>
      <c r="O31" s="3"/>
      <c r="P31" s="3"/>
    </row>
    <row r="32" spans="1:16" ht="30" customHeight="1" thickBot="1">
      <c r="A32" s="365" t="s">
        <v>305</v>
      </c>
      <c r="B32" s="365"/>
      <c r="C32" s="365"/>
      <c r="D32" s="365"/>
      <c r="E32" s="365"/>
      <c r="F32" s="365"/>
      <c r="G32" s="365"/>
      <c r="H32" s="365"/>
      <c r="I32" s="365"/>
      <c r="J32" s="365"/>
      <c r="K32" s="365"/>
      <c r="L32" s="365"/>
      <c r="M32" s="365"/>
      <c r="N32" s="365"/>
      <c r="O32" s="365"/>
      <c r="P32" s="365"/>
    </row>
    <row r="33" spans="1:17" ht="20.149999999999999" customHeight="1">
      <c r="A33" s="484" t="s">
        <v>238</v>
      </c>
      <c r="B33" s="476"/>
      <c r="C33" s="476" t="s">
        <v>239</v>
      </c>
      <c r="D33" s="476"/>
      <c r="E33" s="476" t="s">
        <v>240</v>
      </c>
      <c r="F33" s="476"/>
      <c r="G33" s="476" t="s">
        <v>241</v>
      </c>
      <c r="H33" s="476"/>
      <c r="I33" s="476" t="s">
        <v>242</v>
      </c>
      <c r="J33" s="477"/>
      <c r="K33" s="474" t="s">
        <v>243</v>
      </c>
      <c r="L33" s="475"/>
    </row>
    <row r="34" spans="1:17" ht="20.149999999999999" customHeight="1" thickBot="1">
      <c r="A34" s="486"/>
      <c r="B34" s="487"/>
      <c r="C34" s="487"/>
      <c r="D34" s="487"/>
      <c r="E34" s="487"/>
      <c r="F34" s="487"/>
      <c r="G34" s="487"/>
      <c r="H34" s="487"/>
      <c r="I34" s="487"/>
      <c r="J34" s="508"/>
      <c r="K34" s="509">
        <f>SUM(A34:J34)</f>
        <v>0</v>
      </c>
      <c r="L34" s="510"/>
      <c r="M34" s="26"/>
      <c r="N34" s="26"/>
      <c r="O34" s="26"/>
      <c r="P34" s="26"/>
    </row>
    <row r="35" spans="1:17" ht="9.75" customHeight="1">
      <c r="A35" s="26"/>
      <c r="B35" s="26"/>
      <c r="C35" s="26"/>
      <c r="D35" s="26"/>
      <c r="E35" s="26"/>
      <c r="F35" s="26"/>
      <c r="G35" s="26"/>
      <c r="H35" s="26"/>
      <c r="I35" s="26"/>
      <c r="J35" s="26"/>
      <c r="K35" s="126"/>
      <c r="L35" s="126"/>
      <c r="M35" s="26"/>
      <c r="N35" s="26"/>
      <c r="O35" s="26"/>
      <c r="P35" s="26"/>
    </row>
    <row r="36" spans="1:17" s="172" customFormat="1" ht="25.5" customHeight="1" thickBot="1">
      <c r="A36" s="5" t="s">
        <v>560</v>
      </c>
      <c r="B36" s="5"/>
      <c r="C36" s="5"/>
      <c r="D36" s="5"/>
      <c r="E36" s="5"/>
      <c r="F36" s="5"/>
      <c r="G36" s="5"/>
      <c r="H36" s="5"/>
      <c r="I36" s="5"/>
      <c r="J36" s="5"/>
      <c r="K36" s="3"/>
      <c r="L36" s="5"/>
      <c r="M36" s="3"/>
      <c r="N36" s="3"/>
      <c r="O36" s="3"/>
      <c r="P36" s="3"/>
    </row>
    <row r="37" spans="1:17" s="172" customFormat="1" ht="20.25" customHeight="1" thickBot="1">
      <c r="A37" s="680"/>
      <c r="B37" s="681"/>
      <c r="C37" s="307" t="s">
        <v>561</v>
      </c>
      <c r="D37" s="308"/>
      <c r="E37" s="308"/>
      <c r="F37" s="309"/>
      <c r="H37" s="158"/>
      <c r="I37" s="170" t="str">
        <f>IF(A37="✓","→問３にお進みください","")</f>
        <v/>
      </c>
      <c r="J37" s="5"/>
      <c r="K37" s="3"/>
      <c r="L37" s="5"/>
      <c r="M37" s="3"/>
      <c r="N37" s="3"/>
      <c r="O37" s="3"/>
      <c r="P37" s="3"/>
    </row>
    <row r="38" spans="1:17" ht="16.5" customHeight="1">
      <c r="A38" s="3"/>
      <c r="B38" s="3"/>
      <c r="C38" s="3"/>
      <c r="D38" s="3"/>
      <c r="E38" s="3"/>
      <c r="F38" s="3"/>
      <c r="G38" s="3"/>
      <c r="H38" s="3"/>
      <c r="I38" s="3"/>
      <c r="J38" s="3"/>
      <c r="K38" s="3"/>
      <c r="L38" s="3"/>
      <c r="M38" s="3"/>
      <c r="N38" s="3"/>
      <c r="O38" s="3"/>
      <c r="P38" s="3"/>
    </row>
    <row r="39" spans="1:17" ht="30" customHeight="1" thickBot="1">
      <c r="A39" s="5" t="s">
        <v>558</v>
      </c>
      <c r="B39" s="5"/>
      <c r="C39" s="5"/>
      <c r="D39" s="5"/>
      <c r="E39" s="5"/>
      <c r="F39" s="5"/>
      <c r="G39" s="5"/>
      <c r="H39" s="5"/>
      <c r="I39" s="5"/>
      <c r="J39" s="5"/>
      <c r="K39" s="3"/>
      <c r="L39" s="5"/>
      <c r="M39" s="3"/>
      <c r="N39" s="3"/>
      <c r="O39" s="3"/>
      <c r="P39" s="3"/>
    </row>
    <row r="40" spans="1:17" s="172" customFormat="1" ht="16.5" customHeight="1">
      <c r="A40" s="589" t="s">
        <v>307</v>
      </c>
      <c r="B40" s="590"/>
      <c r="C40" s="590"/>
      <c r="D40" s="591"/>
      <c r="E40" s="598"/>
      <c r="F40" s="599"/>
      <c r="G40" s="160" t="s">
        <v>4</v>
      </c>
      <c r="H40" s="160"/>
      <c r="I40" s="160" t="s">
        <v>5</v>
      </c>
      <c r="J40" s="160"/>
      <c r="K40" s="160" t="s">
        <v>306</v>
      </c>
      <c r="L40" s="160"/>
      <c r="M40" s="160" t="s">
        <v>7</v>
      </c>
      <c r="N40" s="161"/>
      <c r="O40" s="162" t="s">
        <v>30</v>
      </c>
      <c r="P40" s="163"/>
      <c r="Q40" s="132"/>
    </row>
    <row r="41" spans="1:17" s="172" customFormat="1" ht="22.5" customHeight="1">
      <c r="A41" s="592"/>
      <c r="B41" s="593"/>
      <c r="C41" s="593"/>
      <c r="D41" s="594"/>
      <c r="E41" s="478" t="s">
        <v>401</v>
      </c>
      <c r="F41" s="479"/>
      <c r="G41" s="480"/>
      <c r="H41" s="481"/>
      <c r="I41" s="480"/>
      <c r="J41" s="481"/>
      <c r="K41" s="480"/>
      <c r="L41" s="481"/>
      <c r="M41" s="480"/>
      <c r="N41" s="608"/>
      <c r="O41" s="610">
        <f>G41+I41+K41+M41</f>
        <v>0</v>
      </c>
      <c r="P41" s="611"/>
      <c r="Q41" s="132"/>
    </row>
    <row r="42" spans="1:17" s="172" customFormat="1" ht="22.5" customHeight="1" thickBot="1">
      <c r="A42" s="595"/>
      <c r="B42" s="596"/>
      <c r="C42" s="596"/>
      <c r="D42" s="597"/>
      <c r="E42" s="482" t="s">
        <v>400</v>
      </c>
      <c r="F42" s="483"/>
      <c r="G42" s="343"/>
      <c r="H42" s="341"/>
      <c r="I42" s="343"/>
      <c r="J42" s="341"/>
      <c r="K42" s="343"/>
      <c r="L42" s="341"/>
      <c r="M42" s="343"/>
      <c r="N42" s="609"/>
      <c r="O42" s="612">
        <f>SUM(G42:N42)</f>
        <v>0</v>
      </c>
      <c r="P42" s="613"/>
      <c r="Q42" s="132" t="str">
        <f>IF(M42=0,"←人数を記入してください","")</f>
        <v>←人数を記入してください</v>
      </c>
    </row>
    <row r="43" spans="1:17" s="172" customFormat="1" ht="12.75" customHeight="1">
      <c r="A43" s="155"/>
      <c r="B43" s="101"/>
      <c r="C43" s="101"/>
      <c r="D43" s="101"/>
      <c r="E43" s="101"/>
      <c r="F43" s="101"/>
      <c r="G43" s="156"/>
      <c r="H43" s="156"/>
      <c r="I43" s="156"/>
      <c r="J43" s="156"/>
      <c r="K43" s="156"/>
      <c r="L43" s="156"/>
      <c r="M43" s="156"/>
      <c r="N43" s="156"/>
      <c r="O43" s="26"/>
      <c r="P43" s="26"/>
      <c r="Q43" s="132"/>
    </row>
    <row r="44" spans="1:17" ht="30" customHeight="1">
      <c r="A44" s="4" t="s">
        <v>511</v>
      </c>
      <c r="B44" s="4"/>
      <c r="C44" s="4"/>
      <c r="D44" s="4"/>
      <c r="E44" s="4"/>
      <c r="F44" s="4"/>
      <c r="G44" s="4"/>
      <c r="H44" s="4"/>
      <c r="I44" s="4"/>
      <c r="J44" s="4"/>
      <c r="K44" s="4"/>
      <c r="L44" s="4"/>
      <c r="M44" s="4"/>
      <c r="N44" s="4"/>
      <c r="O44" s="4"/>
      <c r="P44" s="4"/>
    </row>
    <row r="45" spans="1:17" s="172" customFormat="1" ht="30" customHeight="1" thickBot="1">
      <c r="A45" s="5" t="s">
        <v>489</v>
      </c>
      <c r="B45" s="5"/>
      <c r="C45" s="5"/>
      <c r="D45" s="5"/>
      <c r="E45" s="5"/>
      <c r="F45" s="5"/>
      <c r="G45" s="5"/>
      <c r="H45" s="5"/>
      <c r="I45" s="5"/>
      <c r="J45" s="5"/>
      <c r="K45" s="3"/>
      <c r="L45" s="5"/>
      <c r="M45" s="3"/>
      <c r="N45" s="3"/>
      <c r="O45" s="3"/>
      <c r="P45" s="3"/>
    </row>
    <row r="46" spans="1:17" s="172" customFormat="1" ht="20.25" customHeight="1">
      <c r="A46" s="5"/>
      <c r="B46" s="634"/>
      <c r="C46" s="635"/>
      <c r="D46" s="636" t="s">
        <v>435</v>
      </c>
      <c r="E46" s="397"/>
      <c r="F46" s="397"/>
      <c r="G46" s="398"/>
      <c r="H46" s="158"/>
      <c r="I46" s="220" t="str">
        <f>IF(COUNTIF(B46:C48,"✓")=1,"","→どれか一つにチェック")</f>
        <v>→どれか一つにチェック</v>
      </c>
      <c r="J46" s="310"/>
      <c r="K46" s="310"/>
      <c r="L46" s="310"/>
      <c r="M46" s="310"/>
      <c r="N46" s="310"/>
      <c r="O46" s="310"/>
      <c r="P46" s="310"/>
    </row>
    <row r="47" spans="1:17" s="172" customFormat="1" ht="20.25" customHeight="1">
      <c r="A47" s="5"/>
      <c r="B47" s="606"/>
      <c r="C47" s="607"/>
      <c r="D47" s="457" t="s">
        <v>436</v>
      </c>
      <c r="E47" s="400"/>
      <c r="F47" s="400"/>
      <c r="G47" s="401"/>
      <c r="H47" s="158"/>
      <c r="I47" s="345" t="str">
        <f>IF(A37="✓","→新規開設のために行った職員の募集・採用の状況を記入してください。（R6.4.1以降の開設に向けて、R6.3月までに職員の募集・採用をした場合でも、令和6年度の募集・採用としてご記入ください）","")</f>
        <v/>
      </c>
      <c r="J47" s="345"/>
      <c r="K47" s="345"/>
      <c r="L47" s="345"/>
      <c r="M47" s="345"/>
      <c r="N47" s="345"/>
      <c r="O47" s="345"/>
      <c r="P47" s="345"/>
    </row>
    <row r="48" spans="1:17" s="172" customFormat="1" ht="20.25" customHeight="1" thickBot="1">
      <c r="A48" s="5"/>
      <c r="B48" s="637"/>
      <c r="C48" s="638"/>
      <c r="D48" s="411" t="s">
        <v>437</v>
      </c>
      <c r="E48" s="412"/>
      <c r="F48" s="412"/>
      <c r="G48" s="413"/>
      <c r="H48" s="158"/>
      <c r="I48" s="345"/>
      <c r="J48" s="345"/>
      <c r="K48" s="345"/>
      <c r="L48" s="345"/>
      <c r="M48" s="345"/>
      <c r="N48" s="345"/>
      <c r="O48" s="345"/>
      <c r="P48" s="345"/>
    </row>
    <row r="49" spans="1:31" s="172" customFormat="1" ht="20.25" customHeight="1">
      <c r="A49" s="5"/>
      <c r="B49" s="26"/>
      <c r="C49" s="26"/>
      <c r="D49" s="190"/>
      <c r="E49" s="190"/>
      <c r="F49" s="190"/>
      <c r="G49" s="190"/>
      <c r="H49" s="158"/>
      <c r="I49" s="345"/>
      <c r="J49" s="345"/>
      <c r="K49" s="345"/>
      <c r="L49" s="345"/>
      <c r="M49" s="345"/>
      <c r="N49" s="345"/>
      <c r="O49" s="345"/>
      <c r="P49" s="345"/>
    </row>
    <row r="50" spans="1:31" s="172" customFormat="1" ht="30" customHeight="1" thickBot="1">
      <c r="A50" s="5" t="s">
        <v>490</v>
      </c>
      <c r="B50" s="5"/>
      <c r="C50" s="5"/>
      <c r="D50" s="5"/>
      <c r="E50" s="5"/>
      <c r="F50" s="5"/>
      <c r="G50" s="5"/>
      <c r="H50" s="5"/>
      <c r="I50" s="5"/>
      <c r="J50" s="5"/>
      <c r="K50" s="3"/>
      <c r="L50" s="5"/>
      <c r="M50" s="3"/>
      <c r="N50" s="3"/>
      <c r="O50" s="3"/>
      <c r="P50" s="3"/>
    </row>
    <row r="51" spans="1:31" s="172" customFormat="1" ht="16.5" customHeight="1" thickBot="1">
      <c r="A51" s="218"/>
      <c r="B51" s="639"/>
      <c r="C51" s="640"/>
      <c r="D51" s="641"/>
      <c r="E51" s="600"/>
      <c r="F51" s="601"/>
      <c r="G51" s="201" t="s">
        <v>4</v>
      </c>
      <c r="H51" s="201"/>
      <c r="I51" s="201" t="s">
        <v>5</v>
      </c>
      <c r="J51" s="201"/>
      <c r="K51" s="201" t="s">
        <v>306</v>
      </c>
      <c r="L51" s="201"/>
      <c r="M51" s="201" t="s">
        <v>7</v>
      </c>
      <c r="N51" s="202"/>
      <c r="O51" s="203" t="s">
        <v>30</v>
      </c>
      <c r="P51" s="204"/>
      <c r="Q51" s="132"/>
    </row>
    <row r="52" spans="1:31" s="172" customFormat="1" ht="22.5" customHeight="1">
      <c r="A52" s="219"/>
      <c r="B52" s="589" t="s">
        <v>434</v>
      </c>
      <c r="C52" s="590"/>
      <c r="D52" s="591"/>
      <c r="E52" s="602" t="s">
        <v>401</v>
      </c>
      <c r="F52" s="603"/>
      <c r="G52" s="604"/>
      <c r="H52" s="605"/>
      <c r="I52" s="604"/>
      <c r="J52" s="605"/>
      <c r="K52" s="604"/>
      <c r="L52" s="605"/>
      <c r="M52" s="604"/>
      <c r="N52" s="643"/>
      <c r="O52" s="614">
        <f>SUM(G52:N52)</f>
        <v>0</v>
      </c>
      <c r="P52" s="615"/>
      <c r="Q52" s="132"/>
    </row>
    <row r="53" spans="1:31" s="172" customFormat="1" ht="22.5" customHeight="1" thickBot="1">
      <c r="A53" s="218"/>
      <c r="B53" s="595"/>
      <c r="C53" s="596"/>
      <c r="D53" s="597"/>
      <c r="E53" s="482" t="s">
        <v>400</v>
      </c>
      <c r="F53" s="483"/>
      <c r="G53" s="343"/>
      <c r="H53" s="341"/>
      <c r="I53" s="343"/>
      <c r="J53" s="341"/>
      <c r="K53" s="343"/>
      <c r="L53" s="341"/>
      <c r="M53" s="343"/>
      <c r="N53" s="609"/>
      <c r="O53" s="612">
        <f>SUM(G53:N53)</f>
        <v>0</v>
      </c>
      <c r="P53" s="613"/>
      <c r="Q53" s="132" t="str">
        <f>IF(O52+O53=0,"←人数を記入してください","")</f>
        <v>←人数を記入してください</v>
      </c>
    </row>
    <row r="54" spans="1:31" s="172" customFormat="1" ht="12.75" customHeight="1">
      <c r="A54" s="155"/>
      <c r="B54" s="101"/>
      <c r="C54" s="101"/>
      <c r="D54" s="101"/>
      <c r="E54" s="101"/>
      <c r="F54" s="101"/>
      <c r="G54" s="156"/>
      <c r="H54" s="156"/>
      <c r="I54" s="156"/>
      <c r="J54" s="156"/>
      <c r="K54" s="156"/>
      <c r="L54" s="156"/>
      <c r="M54" s="156"/>
      <c r="N54" s="156"/>
      <c r="O54" s="26"/>
      <c r="P54" s="26"/>
      <c r="Q54" s="132"/>
    </row>
    <row r="55" spans="1:31" s="172" customFormat="1" ht="27.75" customHeight="1">
      <c r="A55" s="5" t="s">
        <v>491</v>
      </c>
      <c r="B55" s="5"/>
      <c r="C55" s="5"/>
      <c r="D55" s="5"/>
      <c r="E55" s="5"/>
      <c r="F55" s="5"/>
      <c r="G55" s="5"/>
      <c r="H55" s="5"/>
      <c r="I55" s="5"/>
      <c r="J55" s="5"/>
      <c r="K55" s="3"/>
      <c r="L55" s="5"/>
      <c r="M55" s="3"/>
      <c r="N55" s="3"/>
      <c r="O55" s="3"/>
      <c r="P55" s="3"/>
      <c r="S55" s="248"/>
      <c r="T55" s="248"/>
      <c r="U55" s="248"/>
      <c r="V55" s="248"/>
      <c r="W55" s="248"/>
      <c r="X55" s="248"/>
    </row>
    <row r="56" spans="1:31" s="172" customFormat="1" ht="20.25" customHeight="1" thickBot="1">
      <c r="A56" s="6" t="s">
        <v>568</v>
      </c>
      <c r="B56" s="26"/>
      <c r="C56" s="26"/>
      <c r="D56" s="190"/>
      <c r="E56" s="190"/>
      <c r="F56" s="190"/>
      <c r="G56" s="190"/>
      <c r="H56" s="158"/>
      <c r="I56" s="220"/>
      <c r="J56" s="5"/>
      <c r="K56" s="3"/>
      <c r="L56" s="5"/>
      <c r="M56" s="3"/>
      <c r="N56" s="3"/>
      <c r="O56" s="3"/>
      <c r="P56" s="3"/>
      <c r="R56" s="256" t="s">
        <v>461</v>
      </c>
      <c r="S56" s="257"/>
      <c r="T56" s="257"/>
      <c r="U56" s="257"/>
      <c r="V56" s="257"/>
      <c r="W56" s="257"/>
      <c r="X56" s="258" t="s">
        <v>473</v>
      </c>
      <c r="Y56" s="249"/>
    </row>
    <row r="57" spans="1:31" s="172" customFormat="1" ht="24" customHeight="1">
      <c r="A57" s="252" t="s">
        <v>402</v>
      </c>
      <c r="B57" s="621" t="s">
        <v>405</v>
      </c>
      <c r="C57" s="661"/>
      <c r="D57" s="621" t="s">
        <v>403</v>
      </c>
      <c r="E57" s="622"/>
      <c r="F57" s="254" t="s">
        <v>445</v>
      </c>
      <c r="G57" s="644" t="s">
        <v>404</v>
      </c>
      <c r="H57" s="645"/>
      <c r="I57" s="646" t="s">
        <v>464</v>
      </c>
      <c r="J57" s="645"/>
      <c r="K57" s="646" t="s">
        <v>466</v>
      </c>
      <c r="L57" s="644"/>
      <c r="M57" s="645"/>
      <c r="N57" s="646" t="s">
        <v>529</v>
      </c>
      <c r="O57" s="644"/>
      <c r="P57" s="647"/>
      <c r="Q57" s="132"/>
      <c r="R57" s="259" t="s">
        <v>405</v>
      </c>
      <c r="S57" s="259" t="s">
        <v>403</v>
      </c>
      <c r="T57" s="259" t="s">
        <v>445</v>
      </c>
      <c r="U57" s="259" t="s">
        <v>404</v>
      </c>
      <c r="V57" s="259" t="s">
        <v>406</v>
      </c>
      <c r="W57" s="259" t="s">
        <v>428</v>
      </c>
      <c r="X57" s="259" t="s">
        <v>430</v>
      </c>
      <c r="Y57" s="1"/>
      <c r="Z57" s="205"/>
      <c r="AA57" s="205"/>
      <c r="AB57" s="205"/>
      <c r="AC57" s="205"/>
      <c r="AD57" s="205"/>
      <c r="AE57" s="205"/>
    </row>
    <row r="58" spans="1:31" s="172" customFormat="1" ht="22.5" customHeight="1">
      <c r="A58" s="311" t="s">
        <v>431</v>
      </c>
      <c r="B58" s="623" t="s">
        <v>408</v>
      </c>
      <c r="C58" s="624"/>
      <c r="D58" s="650" t="s">
        <v>422</v>
      </c>
      <c r="E58" s="648"/>
      <c r="F58" s="312" t="s">
        <v>14</v>
      </c>
      <c r="G58" s="648" t="s">
        <v>424</v>
      </c>
      <c r="H58" s="649"/>
      <c r="I58" s="650" t="s">
        <v>425</v>
      </c>
      <c r="J58" s="649"/>
      <c r="K58" s="618" t="s">
        <v>429</v>
      </c>
      <c r="L58" s="619"/>
      <c r="M58" s="651"/>
      <c r="N58" s="618" t="s">
        <v>286</v>
      </c>
      <c r="O58" s="619"/>
      <c r="P58" s="620"/>
      <c r="Q58" s="132"/>
      <c r="R58" s="260" t="s">
        <v>408</v>
      </c>
      <c r="S58" s="258" t="s">
        <v>4</v>
      </c>
      <c r="T58" s="258" t="s">
        <v>440</v>
      </c>
      <c r="U58" s="258" t="s">
        <v>91</v>
      </c>
      <c r="V58" s="258" t="s">
        <v>196</v>
      </c>
      <c r="W58" s="258" t="s">
        <v>433</v>
      </c>
      <c r="X58" s="260" t="s">
        <v>283</v>
      </c>
      <c r="Y58" s="1"/>
      <c r="Z58" s="205"/>
      <c r="AA58" s="205"/>
      <c r="AB58" s="205"/>
      <c r="AC58" s="205"/>
      <c r="AD58" s="205"/>
      <c r="AE58" s="205"/>
    </row>
    <row r="59" spans="1:31" s="172" customFormat="1" ht="22.5" customHeight="1" thickBot="1">
      <c r="A59" s="311" t="s">
        <v>432</v>
      </c>
      <c r="B59" s="623" t="s">
        <v>416</v>
      </c>
      <c r="C59" s="624"/>
      <c r="D59" s="650" t="s">
        <v>422</v>
      </c>
      <c r="E59" s="648"/>
      <c r="F59" s="313" t="s">
        <v>16</v>
      </c>
      <c r="G59" s="648" t="s">
        <v>399</v>
      </c>
      <c r="H59" s="649"/>
      <c r="I59" s="650" t="s">
        <v>426</v>
      </c>
      <c r="J59" s="649"/>
      <c r="K59" s="618" t="s">
        <v>438</v>
      </c>
      <c r="L59" s="619"/>
      <c r="M59" s="651"/>
      <c r="N59" s="618"/>
      <c r="O59" s="619"/>
      <c r="P59" s="620"/>
      <c r="Q59" s="132"/>
      <c r="R59" s="260" t="s">
        <v>409</v>
      </c>
      <c r="S59" s="258" t="s">
        <v>5</v>
      </c>
      <c r="T59" s="258" t="s">
        <v>14</v>
      </c>
      <c r="U59" s="258" t="s">
        <v>399</v>
      </c>
      <c r="V59" s="258" t="s">
        <v>426</v>
      </c>
      <c r="W59" s="258" t="s">
        <v>429</v>
      </c>
      <c r="X59" s="260" t="s">
        <v>253</v>
      </c>
      <c r="Y59" s="1"/>
      <c r="Z59" s="206"/>
      <c r="AA59" s="206"/>
      <c r="AB59" s="206"/>
      <c r="AC59" s="206"/>
      <c r="AD59" s="206"/>
      <c r="AE59" s="206"/>
    </row>
    <row r="60" spans="1:31" s="172" customFormat="1" ht="22.5" customHeight="1">
      <c r="A60" s="159">
        <v>1</v>
      </c>
      <c r="B60" s="662"/>
      <c r="C60" s="662"/>
      <c r="D60" s="642"/>
      <c r="E60" s="642"/>
      <c r="F60" s="223"/>
      <c r="G60" s="642"/>
      <c r="H60" s="642"/>
      <c r="I60" s="642"/>
      <c r="J60" s="642"/>
      <c r="K60" s="625"/>
      <c r="L60" s="625"/>
      <c r="M60" s="625"/>
      <c r="N60" s="625"/>
      <c r="O60" s="625"/>
      <c r="P60" s="626"/>
      <c r="Q60" s="174"/>
      <c r="R60" s="260" t="s">
        <v>410</v>
      </c>
      <c r="S60" s="258" t="s">
        <v>6</v>
      </c>
      <c r="T60" s="258" t="s">
        <v>15</v>
      </c>
      <c r="U60" s="261"/>
      <c r="V60" s="261"/>
      <c r="W60" s="258" t="s">
        <v>438</v>
      </c>
      <c r="X60" s="262" t="s">
        <v>284</v>
      </c>
      <c r="Y60" s="1"/>
      <c r="Z60" s="205"/>
      <c r="AA60" s="205"/>
      <c r="AB60" s="205"/>
      <c r="AC60" s="205"/>
      <c r="AD60" s="205"/>
      <c r="AE60" s="205"/>
    </row>
    <row r="61" spans="1:31" s="172" customFormat="1" ht="22.5" customHeight="1">
      <c r="A61" s="164">
        <v>2</v>
      </c>
      <c r="B61" s="628"/>
      <c r="C61" s="628"/>
      <c r="D61" s="627"/>
      <c r="E61" s="627"/>
      <c r="F61" s="224"/>
      <c r="G61" s="627"/>
      <c r="H61" s="627"/>
      <c r="I61" s="627"/>
      <c r="J61" s="627"/>
      <c r="K61" s="616"/>
      <c r="L61" s="616"/>
      <c r="M61" s="616"/>
      <c r="N61" s="616"/>
      <c r="O61" s="616"/>
      <c r="P61" s="617"/>
      <c r="Q61" s="132"/>
      <c r="R61" s="260" t="s">
        <v>411</v>
      </c>
      <c r="S61" s="258" t="s">
        <v>7</v>
      </c>
      <c r="T61" s="258" t="s">
        <v>16</v>
      </c>
      <c r="U61" s="263"/>
      <c r="V61" s="263"/>
      <c r="W61" s="258" t="s">
        <v>439</v>
      </c>
      <c r="X61" s="260" t="s">
        <v>285</v>
      </c>
      <c r="Y61" s="1"/>
      <c r="Z61" s="206"/>
      <c r="AA61" s="206"/>
      <c r="AB61" s="206"/>
      <c r="AC61" s="206"/>
      <c r="AD61" s="206"/>
      <c r="AE61" s="206"/>
    </row>
    <row r="62" spans="1:31" s="172" customFormat="1" ht="22.5" customHeight="1">
      <c r="A62" s="164">
        <v>3</v>
      </c>
      <c r="B62" s="628"/>
      <c r="C62" s="628"/>
      <c r="D62" s="627"/>
      <c r="E62" s="627"/>
      <c r="F62" s="224"/>
      <c r="G62" s="627"/>
      <c r="H62" s="627"/>
      <c r="I62" s="627"/>
      <c r="J62" s="627"/>
      <c r="K62" s="616"/>
      <c r="L62" s="616"/>
      <c r="M62" s="616"/>
      <c r="N62" s="616"/>
      <c r="O62" s="616"/>
      <c r="P62" s="617"/>
      <c r="Q62" s="132"/>
      <c r="R62" s="260" t="s">
        <v>412</v>
      </c>
      <c r="S62" s="264"/>
      <c r="T62" s="260" t="s">
        <v>17</v>
      </c>
      <c r="U62" s="263"/>
      <c r="V62" s="263"/>
      <c r="W62" s="265"/>
      <c r="X62" s="260" t="s">
        <v>254</v>
      </c>
      <c r="Y62" s="1"/>
      <c r="Z62" s="205"/>
      <c r="AA62" s="205"/>
      <c r="AB62" s="205"/>
      <c r="AC62" s="205"/>
      <c r="AD62" s="205"/>
      <c r="AE62" s="205"/>
    </row>
    <row r="63" spans="1:31" s="172" customFormat="1" ht="22.5" customHeight="1">
      <c r="A63" s="164">
        <v>4</v>
      </c>
      <c r="B63" s="628"/>
      <c r="C63" s="628"/>
      <c r="D63" s="627"/>
      <c r="E63" s="627"/>
      <c r="F63" s="224"/>
      <c r="G63" s="627"/>
      <c r="H63" s="627"/>
      <c r="I63" s="627"/>
      <c r="J63" s="627"/>
      <c r="K63" s="616"/>
      <c r="L63" s="616"/>
      <c r="M63" s="616"/>
      <c r="N63" s="616"/>
      <c r="O63" s="616"/>
      <c r="P63" s="617"/>
      <c r="Q63" s="132"/>
      <c r="R63" s="260" t="s">
        <v>413</v>
      </c>
      <c r="S63" s="266"/>
      <c r="T63" s="260" t="s">
        <v>18</v>
      </c>
      <c r="U63" s="263"/>
      <c r="V63" s="263"/>
      <c r="W63" s="265"/>
      <c r="X63" s="260" t="s">
        <v>286</v>
      </c>
      <c r="Y63" s="1"/>
      <c r="Z63" s="206"/>
      <c r="AA63" s="206"/>
      <c r="AB63" s="206"/>
      <c r="AC63" s="206"/>
      <c r="AD63" s="206"/>
      <c r="AE63" s="206"/>
    </row>
    <row r="64" spans="1:31" s="172" customFormat="1" ht="22.5" customHeight="1">
      <c r="A64" s="164">
        <v>5</v>
      </c>
      <c r="B64" s="628"/>
      <c r="C64" s="628"/>
      <c r="D64" s="627"/>
      <c r="E64" s="627"/>
      <c r="F64" s="224"/>
      <c r="G64" s="627"/>
      <c r="H64" s="627"/>
      <c r="I64" s="627"/>
      <c r="J64" s="627"/>
      <c r="K64" s="616"/>
      <c r="L64" s="616"/>
      <c r="M64" s="616"/>
      <c r="N64" s="616"/>
      <c r="O64" s="616"/>
      <c r="P64" s="617"/>
      <c r="Q64" s="132"/>
      <c r="R64" s="260" t="s">
        <v>414</v>
      </c>
      <c r="S64" s="266"/>
      <c r="T64" s="263"/>
      <c r="U64" s="263"/>
      <c r="V64" s="263"/>
      <c r="W64" s="265"/>
      <c r="X64" s="260" t="s">
        <v>441</v>
      </c>
      <c r="Y64" s="1"/>
      <c r="Z64" s="205"/>
      <c r="AA64" s="205"/>
      <c r="AB64" s="205"/>
      <c r="AC64" s="205"/>
      <c r="AD64" s="205"/>
      <c r="AE64" s="205"/>
    </row>
    <row r="65" spans="1:31" s="172" customFormat="1" ht="22.5" customHeight="1">
      <c r="A65" s="164">
        <v>6</v>
      </c>
      <c r="B65" s="628"/>
      <c r="C65" s="628"/>
      <c r="D65" s="627"/>
      <c r="E65" s="627"/>
      <c r="F65" s="224"/>
      <c r="G65" s="627"/>
      <c r="H65" s="627"/>
      <c r="I65" s="627"/>
      <c r="J65" s="627"/>
      <c r="K65" s="616"/>
      <c r="L65" s="616"/>
      <c r="M65" s="616"/>
      <c r="N65" s="616"/>
      <c r="O65" s="616"/>
      <c r="P65" s="617"/>
      <c r="Q65" s="132"/>
      <c r="R65" s="260" t="s">
        <v>415</v>
      </c>
      <c r="S65" s="266"/>
      <c r="T65" s="263"/>
      <c r="U65" s="263"/>
      <c r="V65" s="263"/>
      <c r="W65" s="265"/>
      <c r="X65" s="260" t="s">
        <v>255</v>
      </c>
      <c r="Y65" s="1"/>
      <c r="Z65" s="205"/>
      <c r="AA65" s="205"/>
      <c r="AB65" s="205"/>
      <c r="AC65" s="205"/>
      <c r="AD65" s="205"/>
      <c r="AE65" s="205"/>
    </row>
    <row r="66" spans="1:31" s="172" customFormat="1" ht="22.5" customHeight="1">
      <c r="A66" s="164">
        <v>7</v>
      </c>
      <c r="B66" s="628"/>
      <c r="C66" s="628"/>
      <c r="D66" s="627"/>
      <c r="E66" s="627"/>
      <c r="F66" s="224"/>
      <c r="G66" s="627"/>
      <c r="H66" s="627"/>
      <c r="I66" s="627"/>
      <c r="J66" s="627"/>
      <c r="K66" s="616"/>
      <c r="L66" s="616"/>
      <c r="M66" s="616"/>
      <c r="N66" s="616"/>
      <c r="O66" s="616"/>
      <c r="P66" s="617"/>
      <c r="Q66" s="132"/>
      <c r="R66" s="260" t="s">
        <v>416</v>
      </c>
      <c r="S66" s="266"/>
      <c r="T66" s="263"/>
      <c r="U66" s="263"/>
      <c r="V66" s="263"/>
      <c r="W66" s="265"/>
      <c r="X66" s="260" t="s">
        <v>427</v>
      </c>
      <c r="Y66" s="1"/>
      <c r="Z66" s="205"/>
      <c r="AA66" s="205"/>
      <c r="AB66" s="205"/>
      <c r="AC66" s="205"/>
      <c r="AD66" s="205"/>
      <c r="AE66" s="205"/>
    </row>
    <row r="67" spans="1:31" s="172" customFormat="1" ht="22.5" customHeight="1">
      <c r="A67" s="164">
        <v>8</v>
      </c>
      <c r="B67" s="628"/>
      <c r="C67" s="628"/>
      <c r="D67" s="627"/>
      <c r="E67" s="627"/>
      <c r="F67" s="224"/>
      <c r="G67" s="627"/>
      <c r="H67" s="627"/>
      <c r="I67" s="627"/>
      <c r="J67" s="627"/>
      <c r="K67" s="616"/>
      <c r="L67" s="616"/>
      <c r="M67" s="616"/>
      <c r="N67" s="616"/>
      <c r="O67" s="616"/>
      <c r="P67" s="617"/>
      <c r="Q67" s="132"/>
      <c r="R67" s="260" t="s">
        <v>417</v>
      </c>
      <c r="S67" s="266"/>
      <c r="T67" s="263"/>
      <c r="U67" s="263"/>
      <c r="V67" s="263"/>
      <c r="W67" s="265"/>
      <c r="X67" s="258" t="s">
        <v>532</v>
      </c>
      <c r="Y67" s="1"/>
      <c r="Z67" s="205"/>
      <c r="AA67" s="205"/>
      <c r="AB67" s="205"/>
      <c r="AC67" s="205"/>
      <c r="AD67" s="205"/>
      <c r="AE67" s="205"/>
    </row>
    <row r="68" spans="1:31" s="172" customFormat="1" ht="22.5" customHeight="1">
      <c r="A68" s="164">
        <v>9</v>
      </c>
      <c r="B68" s="628"/>
      <c r="C68" s="628"/>
      <c r="D68" s="627"/>
      <c r="E68" s="627"/>
      <c r="F68" s="224"/>
      <c r="G68" s="627"/>
      <c r="H68" s="627"/>
      <c r="I68" s="627"/>
      <c r="J68" s="627"/>
      <c r="K68" s="616"/>
      <c r="L68" s="616"/>
      <c r="M68" s="616"/>
      <c r="N68" s="616"/>
      <c r="O68" s="616"/>
      <c r="P68" s="617"/>
      <c r="Q68" s="132"/>
      <c r="R68" s="260" t="s">
        <v>418</v>
      </c>
      <c r="S68" s="263"/>
      <c r="T68" s="263"/>
      <c r="U68" s="263"/>
      <c r="V68" s="263"/>
      <c r="W68" s="263"/>
      <c r="X68" s="267"/>
      <c r="Y68" s="1"/>
      <c r="Z68" s="205"/>
      <c r="AA68" s="205"/>
      <c r="AB68" s="205"/>
      <c r="AC68" s="205"/>
      <c r="AD68" s="205"/>
      <c r="AE68" s="205"/>
    </row>
    <row r="69" spans="1:31" s="172" customFormat="1" ht="22.5" customHeight="1" thickBot="1">
      <c r="A69" s="165">
        <v>10</v>
      </c>
      <c r="B69" s="658"/>
      <c r="C69" s="658"/>
      <c r="D69" s="342"/>
      <c r="E69" s="342"/>
      <c r="F69" s="152"/>
      <c r="G69" s="342"/>
      <c r="H69" s="342"/>
      <c r="I69" s="342"/>
      <c r="J69" s="342"/>
      <c r="K69" s="659"/>
      <c r="L69" s="659"/>
      <c r="M69" s="659"/>
      <c r="N69" s="659"/>
      <c r="O69" s="659"/>
      <c r="P69" s="660"/>
      <c r="Q69" s="132"/>
      <c r="R69" s="260" t="s">
        <v>419</v>
      </c>
      <c r="S69" s="263"/>
      <c r="T69" s="263"/>
      <c r="U69" s="263"/>
      <c r="V69" s="263"/>
      <c r="W69" s="263"/>
      <c r="X69" s="267"/>
      <c r="Y69" s="1"/>
      <c r="Z69" s="206"/>
      <c r="AA69" s="206"/>
      <c r="AB69" s="206"/>
      <c r="AC69" s="206"/>
      <c r="AD69" s="206"/>
      <c r="AE69" s="206"/>
    </row>
    <row r="70" spans="1:31" s="172" customFormat="1" ht="12.75" customHeight="1">
      <c r="A70" s="155"/>
      <c r="B70" s="101"/>
      <c r="C70" s="101"/>
      <c r="D70" s="101"/>
      <c r="E70" s="101"/>
      <c r="F70" s="101"/>
      <c r="G70" s="156"/>
      <c r="H70" s="156"/>
      <c r="I70" s="156"/>
      <c r="J70" s="156"/>
      <c r="K70" s="156"/>
      <c r="L70" s="156"/>
      <c r="M70" s="156"/>
      <c r="N70" s="156"/>
      <c r="O70" s="26"/>
      <c r="P70" s="26"/>
      <c r="Q70" s="132"/>
      <c r="R70" s="247"/>
      <c r="S70" s="247"/>
      <c r="T70" s="247"/>
      <c r="U70" s="247"/>
      <c r="V70" s="247"/>
      <c r="W70" s="247"/>
      <c r="X70" s="247"/>
      <c r="Y70" s="1"/>
      <c r="Z70" s="205"/>
      <c r="AA70" s="205"/>
      <c r="AB70" s="205"/>
      <c r="AC70" s="205"/>
      <c r="AD70" s="205"/>
      <c r="AE70" s="205"/>
    </row>
    <row r="71" spans="1:31" s="172" customFormat="1" ht="18.75" customHeight="1">
      <c r="A71" s="3" t="s">
        <v>465</v>
      </c>
      <c r="B71" s="3"/>
      <c r="C71" s="3"/>
      <c r="D71" s="3"/>
      <c r="E71" s="3"/>
      <c r="F71" s="3"/>
      <c r="G71" s="3"/>
      <c r="H71" s="3"/>
      <c r="I71" s="3"/>
      <c r="J71" s="3"/>
      <c r="K71" s="3"/>
      <c r="L71" s="3"/>
      <c r="M71" s="6"/>
      <c r="N71" s="6"/>
      <c r="O71" s="3"/>
    </row>
    <row r="72" spans="1:31" s="172" customFormat="1" ht="32.25" customHeight="1">
      <c r="A72" s="344" t="s">
        <v>467</v>
      </c>
      <c r="B72" s="344"/>
      <c r="C72" s="344"/>
      <c r="D72" s="344"/>
      <c r="E72" s="344"/>
      <c r="F72" s="344"/>
      <c r="G72" s="344"/>
      <c r="H72" s="344"/>
      <c r="I72" s="344"/>
      <c r="J72" s="344"/>
      <c r="K72" s="344"/>
      <c r="L72" s="344"/>
      <c r="M72" s="344"/>
      <c r="N72" s="344"/>
      <c r="O72" s="344"/>
      <c r="P72" s="344"/>
    </row>
    <row r="73" spans="1:31" s="172" customFormat="1" ht="19.5" customHeight="1">
      <c r="A73" s="344" t="s">
        <v>530</v>
      </c>
      <c r="B73" s="344"/>
      <c r="C73" s="344"/>
      <c r="D73" s="344"/>
      <c r="E73" s="344"/>
      <c r="F73" s="344"/>
      <c r="G73" s="344"/>
      <c r="H73" s="344"/>
      <c r="I73" s="344"/>
      <c r="J73" s="344"/>
      <c r="K73" s="344"/>
      <c r="L73" s="344"/>
      <c r="M73" s="344"/>
      <c r="N73" s="344"/>
      <c r="O73" s="344"/>
      <c r="P73" s="344"/>
    </row>
    <row r="74" spans="1:31" ht="9.65" customHeight="1">
      <c r="A74" s="3"/>
      <c r="B74" s="3"/>
      <c r="C74" s="3"/>
      <c r="D74" s="3"/>
      <c r="E74" s="3"/>
      <c r="F74" s="3"/>
      <c r="G74" s="3"/>
      <c r="H74" s="3"/>
      <c r="I74" s="3"/>
      <c r="J74" s="3"/>
      <c r="K74" s="3"/>
      <c r="L74" s="3"/>
      <c r="M74" s="3"/>
      <c r="N74" s="6"/>
      <c r="O74" s="6"/>
      <c r="P74" s="3"/>
      <c r="U74" s="1"/>
      <c r="V74" s="1"/>
      <c r="W74" s="1"/>
      <c r="X74" s="1"/>
      <c r="Y74" s="1"/>
      <c r="Z74" s="205"/>
      <c r="AA74" s="205"/>
      <c r="AB74" s="205"/>
      <c r="AC74" s="205"/>
      <c r="AD74" s="205"/>
      <c r="AE74" s="205"/>
    </row>
    <row r="75" spans="1:31" s="172" customFormat="1" ht="12.75" customHeight="1">
      <c r="A75" s="155"/>
      <c r="B75" s="101"/>
      <c r="C75" s="101"/>
      <c r="D75" s="101"/>
      <c r="E75" s="101"/>
      <c r="F75" s="101"/>
      <c r="G75" s="156"/>
      <c r="H75" s="156"/>
      <c r="I75" s="156"/>
      <c r="J75" s="156"/>
      <c r="K75" s="156"/>
      <c r="L75" s="156"/>
      <c r="M75" s="156"/>
      <c r="N75" s="156"/>
      <c r="O75" s="26"/>
      <c r="P75" s="26"/>
      <c r="Q75" s="132"/>
      <c r="U75" s="1"/>
      <c r="V75" s="1"/>
      <c r="W75" s="1"/>
      <c r="X75" s="1"/>
      <c r="Y75" s="1"/>
      <c r="Z75" s="205"/>
      <c r="AA75" s="205"/>
      <c r="AB75" s="205"/>
      <c r="AC75" s="205"/>
      <c r="AD75" s="205"/>
      <c r="AE75" s="205"/>
    </row>
    <row r="76" spans="1:31" ht="30" customHeight="1">
      <c r="A76" s="4" t="s">
        <v>308</v>
      </c>
      <c r="B76" s="4"/>
      <c r="C76" s="4"/>
      <c r="D76" s="4"/>
      <c r="E76" s="4"/>
      <c r="F76" s="4"/>
      <c r="G76" s="4"/>
      <c r="H76" s="4"/>
      <c r="I76" s="4"/>
      <c r="J76" s="4"/>
      <c r="K76" s="4"/>
      <c r="L76" s="4"/>
      <c r="M76" s="4"/>
      <c r="N76" s="4"/>
      <c r="O76" s="4"/>
      <c r="P76" s="4"/>
      <c r="U76" s="1"/>
      <c r="V76" s="1"/>
      <c r="W76" s="1"/>
      <c r="X76" s="1"/>
      <c r="Y76" s="1"/>
      <c r="Z76" s="1"/>
    </row>
    <row r="77" spans="1:31" s="172" customFormat="1" ht="30" customHeight="1" thickBot="1">
      <c r="A77" s="5" t="s">
        <v>492</v>
      </c>
      <c r="B77" s="5"/>
      <c r="C77" s="5"/>
      <c r="D77" s="5"/>
      <c r="E77" s="5"/>
      <c r="F77" s="5"/>
      <c r="G77" s="5"/>
      <c r="H77" s="5"/>
      <c r="I77" s="5"/>
      <c r="J77" s="5"/>
      <c r="K77" s="3"/>
      <c r="L77" s="5"/>
      <c r="M77" s="3"/>
      <c r="N77" s="3"/>
      <c r="O77" s="3"/>
      <c r="P77" s="3"/>
    </row>
    <row r="78" spans="1:31" s="172" customFormat="1" ht="20.25" customHeight="1">
      <c r="A78" s="5"/>
      <c r="B78" s="634"/>
      <c r="C78" s="635"/>
      <c r="D78" s="636" t="s">
        <v>442</v>
      </c>
      <c r="E78" s="397"/>
      <c r="F78" s="397"/>
      <c r="G78" s="398"/>
      <c r="H78" s="158"/>
      <c r="J78" s="5"/>
      <c r="K78" s="3"/>
      <c r="L78" s="5"/>
      <c r="M78" s="3"/>
      <c r="N78" s="3"/>
      <c r="O78" s="3"/>
      <c r="P78" s="3"/>
    </row>
    <row r="79" spans="1:31" s="172" customFormat="1" ht="20.25" customHeight="1" thickBot="1">
      <c r="A79" s="5"/>
      <c r="B79" s="637"/>
      <c r="C79" s="638"/>
      <c r="D79" s="411" t="s">
        <v>443</v>
      </c>
      <c r="E79" s="412"/>
      <c r="F79" s="412"/>
      <c r="G79" s="413"/>
      <c r="H79" s="158"/>
      <c r="I79" s="220" t="str">
        <f>IF(COUNTIF(B78:C79,"✓")=1,"","どれか一つにチェック")</f>
        <v>どれか一つにチェック</v>
      </c>
      <c r="J79" s="5"/>
      <c r="K79" s="3"/>
      <c r="L79" s="5"/>
      <c r="M79" s="3"/>
      <c r="N79" s="3"/>
      <c r="O79" s="3"/>
      <c r="P79" s="3"/>
    </row>
    <row r="80" spans="1:31" s="172" customFormat="1" ht="9" customHeight="1">
      <c r="A80" s="225"/>
      <c r="B80" s="26"/>
      <c r="C80" s="26"/>
      <c r="D80" s="190"/>
      <c r="E80" s="190"/>
      <c r="F80" s="190"/>
      <c r="G80" s="190"/>
      <c r="H80" s="158"/>
      <c r="I80" s="220"/>
      <c r="J80" s="5"/>
      <c r="K80" s="3"/>
      <c r="L80" s="5"/>
      <c r="M80" s="3"/>
      <c r="N80" s="3"/>
      <c r="O80" s="3"/>
      <c r="P80" s="3"/>
    </row>
    <row r="81" spans="1:31" s="172" customFormat="1" ht="30" customHeight="1">
      <c r="A81" s="5" t="s">
        <v>493</v>
      </c>
      <c r="B81" s="3"/>
      <c r="C81" s="3"/>
      <c r="D81" s="3"/>
      <c r="E81" s="3"/>
      <c r="F81" s="3"/>
      <c r="G81" s="3"/>
      <c r="H81" s="3"/>
      <c r="I81" s="3"/>
      <c r="J81" s="3"/>
      <c r="K81" s="3"/>
      <c r="L81" s="3"/>
      <c r="M81" s="3"/>
      <c r="N81" s="3"/>
      <c r="O81" s="3"/>
      <c r="P81" s="3"/>
      <c r="S81" s="248"/>
      <c r="T81" s="248"/>
      <c r="U81" s="250"/>
      <c r="V81" s="250"/>
      <c r="W81" s="250"/>
      <c r="X81" s="250"/>
      <c r="Y81" s="250"/>
      <c r="Z81" s="1"/>
    </row>
    <row r="82" spans="1:31" s="172" customFormat="1" ht="20.25" customHeight="1">
      <c r="A82" s="6" t="s">
        <v>468</v>
      </c>
      <c r="B82" s="26"/>
      <c r="C82" s="26"/>
      <c r="D82" s="190"/>
      <c r="E82" s="190"/>
      <c r="F82" s="190"/>
      <c r="G82" s="190"/>
      <c r="H82" s="158"/>
      <c r="I82" s="220"/>
      <c r="J82" s="5"/>
      <c r="K82" s="3"/>
      <c r="L82" s="5"/>
      <c r="M82" s="3"/>
      <c r="N82" s="3"/>
      <c r="O82" s="3"/>
      <c r="P82" s="3"/>
      <c r="R82" s="251"/>
      <c r="S82" s="251"/>
      <c r="T82" s="251"/>
      <c r="U82" s="251"/>
      <c r="V82" s="251"/>
      <c r="W82" s="251"/>
      <c r="X82" s="1"/>
      <c r="Y82" s="277"/>
    </row>
    <row r="83" spans="1:31" s="172" customFormat="1" ht="20.25" customHeight="1">
      <c r="A83" s="6" t="s">
        <v>469</v>
      </c>
      <c r="B83" s="26"/>
      <c r="C83" s="26"/>
      <c r="D83" s="190"/>
      <c r="E83" s="190"/>
      <c r="F83" s="190"/>
      <c r="G83" s="190"/>
      <c r="H83" s="158"/>
      <c r="I83" s="220"/>
      <c r="J83" s="5"/>
      <c r="K83" s="3"/>
      <c r="L83" s="5"/>
      <c r="M83" s="3"/>
      <c r="N83" s="3"/>
      <c r="O83" s="3"/>
      <c r="P83" s="3"/>
      <c r="R83" s="268" t="s">
        <v>462</v>
      </c>
      <c r="S83" s="257"/>
      <c r="T83" s="257"/>
      <c r="U83" s="257"/>
      <c r="V83" s="257"/>
      <c r="W83" s="257"/>
      <c r="X83" s="1"/>
      <c r="Y83" s="263"/>
    </row>
    <row r="84" spans="1:31" s="172" customFormat="1" ht="12.75" customHeight="1" thickBot="1">
      <c r="A84" s="6"/>
      <c r="B84" s="26"/>
      <c r="C84" s="26"/>
      <c r="D84" s="190"/>
      <c r="E84" s="190"/>
      <c r="F84" s="190"/>
      <c r="G84" s="190"/>
      <c r="H84" s="158"/>
      <c r="I84" s="220"/>
      <c r="J84" s="5"/>
      <c r="K84" s="3"/>
      <c r="L84" s="5"/>
      <c r="M84" s="3"/>
      <c r="N84" s="3"/>
      <c r="O84" s="3"/>
      <c r="P84" s="3"/>
      <c r="R84" s="257"/>
      <c r="S84" s="257"/>
      <c r="T84" s="257"/>
      <c r="U84" s="257"/>
      <c r="V84" s="257"/>
      <c r="W84" s="257"/>
      <c r="X84" s="278"/>
      <c r="Y84" s="263"/>
    </row>
    <row r="85" spans="1:31" s="172" customFormat="1" ht="30.75" customHeight="1">
      <c r="A85" s="252" t="s">
        <v>444</v>
      </c>
      <c r="B85" s="631" t="s">
        <v>451</v>
      </c>
      <c r="C85" s="631"/>
      <c r="D85" s="631" t="s">
        <v>403</v>
      </c>
      <c r="E85" s="631"/>
      <c r="F85" s="253" t="s">
        <v>450</v>
      </c>
      <c r="G85" s="646" t="s">
        <v>404</v>
      </c>
      <c r="H85" s="645"/>
      <c r="I85" s="646" t="s">
        <v>447</v>
      </c>
      <c r="J85" s="645"/>
      <c r="K85" s="316" t="s">
        <v>563</v>
      </c>
      <c r="L85" s="654" t="s">
        <v>565</v>
      </c>
      <c r="M85" s="654"/>
      <c r="N85" s="654"/>
      <c r="O85" s="652" t="s">
        <v>455</v>
      </c>
      <c r="P85" s="653"/>
      <c r="Q85" s="132"/>
      <c r="R85" s="269" t="s">
        <v>452</v>
      </c>
      <c r="S85" s="269" t="s">
        <v>403</v>
      </c>
      <c r="T85" s="259" t="s">
        <v>449</v>
      </c>
      <c r="U85" s="269" t="s">
        <v>404</v>
      </c>
      <c r="V85" s="269" t="s">
        <v>447</v>
      </c>
      <c r="W85" s="269" t="s">
        <v>457</v>
      </c>
      <c r="X85" s="269" t="s">
        <v>40</v>
      </c>
      <c r="Y85" s="269" t="s">
        <v>430</v>
      </c>
      <c r="Z85" s="205"/>
      <c r="AA85" s="205"/>
      <c r="AB85" s="205"/>
      <c r="AC85" s="205"/>
      <c r="AD85" s="205"/>
      <c r="AE85" s="205"/>
    </row>
    <row r="86" spans="1:31" s="172" customFormat="1" ht="22.5" customHeight="1">
      <c r="A86" s="200" t="s">
        <v>431</v>
      </c>
      <c r="B86" s="629" t="s">
        <v>411</v>
      </c>
      <c r="C86" s="629"/>
      <c r="D86" s="630" t="s">
        <v>422</v>
      </c>
      <c r="E86" s="630"/>
      <c r="F86" s="245" t="s">
        <v>14</v>
      </c>
      <c r="G86" s="665" t="s">
        <v>424</v>
      </c>
      <c r="H86" s="666"/>
      <c r="I86" s="665" t="s">
        <v>453</v>
      </c>
      <c r="J86" s="666"/>
      <c r="K86" s="244" t="s">
        <v>458</v>
      </c>
      <c r="L86" s="655" t="s">
        <v>528</v>
      </c>
      <c r="M86" s="656"/>
      <c r="N86" s="657"/>
      <c r="O86" s="587" t="s">
        <v>441</v>
      </c>
      <c r="P86" s="588"/>
      <c r="Q86" s="132"/>
      <c r="R86" s="258" t="s">
        <v>408</v>
      </c>
      <c r="S86" s="258" t="s">
        <v>4</v>
      </c>
      <c r="T86" s="258" t="s">
        <v>440</v>
      </c>
      <c r="U86" s="270" t="s">
        <v>91</v>
      </c>
      <c r="V86" s="258" t="s">
        <v>453</v>
      </c>
      <c r="W86" s="271" t="s">
        <v>459</v>
      </c>
      <c r="X86" s="258" t="s">
        <v>204</v>
      </c>
      <c r="Y86" s="260" t="s">
        <v>283</v>
      </c>
      <c r="Z86" s="205"/>
      <c r="AA86" s="205"/>
      <c r="AB86" s="205"/>
      <c r="AC86" s="205"/>
      <c r="AD86" s="205"/>
      <c r="AE86" s="205"/>
    </row>
    <row r="87" spans="1:31" s="172" customFormat="1" ht="22.5" customHeight="1" thickBot="1">
      <c r="A87" s="200" t="s">
        <v>432</v>
      </c>
      <c r="B87" s="663" t="s">
        <v>416</v>
      </c>
      <c r="C87" s="663"/>
      <c r="D87" s="664" t="s">
        <v>423</v>
      </c>
      <c r="E87" s="664"/>
      <c r="F87" s="246" t="s">
        <v>17</v>
      </c>
      <c r="G87" s="667" t="s">
        <v>399</v>
      </c>
      <c r="H87" s="668"/>
      <c r="I87" s="667" t="s">
        <v>98</v>
      </c>
      <c r="J87" s="668"/>
      <c r="K87" s="300" t="s">
        <v>514</v>
      </c>
      <c r="L87" s="586"/>
      <c r="M87" s="586"/>
      <c r="N87" s="586"/>
      <c r="O87" s="632"/>
      <c r="P87" s="633"/>
      <c r="Q87" s="132"/>
      <c r="R87" s="258" t="s">
        <v>409</v>
      </c>
      <c r="S87" s="258" t="s">
        <v>5</v>
      </c>
      <c r="T87" s="258" t="s">
        <v>14</v>
      </c>
      <c r="U87" s="270" t="s">
        <v>399</v>
      </c>
      <c r="V87" s="258" t="s">
        <v>454</v>
      </c>
      <c r="W87" s="271" t="s">
        <v>460</v>
      </c>
      <c r="X87" s="258" t="s">
        <v>205</v>
      </c>
      <c r="Y87" s="260" t="s">
        <v>253</v>
      </c>
      <c r="Z87" s="206"/>
      <c r="AA87" s="206"/>
      <c r="AB87" s="206"/>
      <c r="AC87" s="206"/>
      <c r="AD87" s="206"/>
      <c r="AE87" s="206"/>
    </row>
    <row r="88" spans="1:31" s="172" customFormat="1" ht="22.5" customHeight="1">
      <c r="A88" s="159">
        <v>1</v>
      </c>
      <c r="B88" s="662"/>
      <c r="C88" s="662"/>
      <c r="D88" s="642"/>
      <c r="E88" s="642"/>
      <c r="F88" s="232"/>
      <c r="G88" s="642"/>
      <c r="H88" s="642"/>
      <c r="I88" s="642"/>
      <c r="J88" s="642"/>
      <c r="K88" s="227"/>
      <c r="L88" s="683"/>
      <c r="M88" s="683"/>
      <c r="N88" s="683"/>
      <c r="O88" s="625"/>
      <c r="P88" s="626"/>
      <c r="Q88" s="174"/>
      <c r="R88" s="258" t="s">
        <v>410</v>
      </c>
      <c r="S88" s="258" t="s">
        <v>6</v>
      </c>
      <c r="T88" s="258" t="s">
        <v>15</v>
      </c>
      <c r="U88" s="261"/>
      <c r="V88" s="258" t="s">
        <v>96</v>
      </c>
      <c r="W88" s="264"/>
      <c r="X88" s="258" t="s">
        <v>213</v>
      </c>
      <c r="Y88" s="262" t="s">
        <v>284</v>
      </c>
      <c r="Z88" s="205"/>
      <c r="AA88" s="205"/>
      <c r="AB88" s="205"/>
      <c r="AC88" s="205"/>
      <c r="AD88" s="205"/>
      <c r="AE88" s="205"/>
    </row>
    <row r="89" spans="1:31" s="172" customFormat="1" ht="22.5" customHeight="1">
      <c r="A89" s="164">
        <v>2</v>
      </c>
      <c r="B89" s="628"/>
      <c r="C89" s="628"/>
      <c r="D89" s="627"/>
      <c r="E89" s="627"/>
      <c r="F89" s="230"/>
      <c r="G89" s="627"/>
      <c r="H89" s="627"/>
      <c r="I89" s="627"/>
      <c r="J89" s="627"/>
      <c r="K89" s="228"/>
      <c r="L89" s="669"/>
      <c r="M89" s="669"/>
      <c r="N89" s="669"/>
      <c r="O89" s="616"/>
      <c r="P89" s="617"/>
      <c r="Q89" s="132"/>
      <c r="R89" s="258" t="s">
        <v>411</v>
      </c>
      <c r="S89" s="258" t="s">
        <v>7</v>
      </c>
      <c r="T89" s="258" t="s">
        <v>16</v>
      </c>
      <c r="U89" s="263"/>
      <c r="V89" s="258" t="s">
        <v>97</v>
      </c>
      <c r="W89" s="266"/>
      <c r="X89" s="258" t="s">
        <v>214</v>
      </c>
      <c r="Y89" s="260" t="s">
        <v>285</v>
      </c>
      <c r="Z89" s="206"/>
      <c r="AA89" s="206"/>
      <c r="AB89" s="206"/>
      <c r="AC89" s="206"/>
      <c r="AD89" s="206"/>
      <c r="AE89" s="206"/>
    </row>
    <row r="90" spans="1:31" s="172" customFormat="1" ht="22.5" customHeight="1">
      <c r="A90" s="164">
        <v>3</v>
      </c>
      <c r="B90" s="628"/>
      <c r="C90" s="628"/>
      <c r="D90" s="627"/>
      <c r="E90" s="627"/>
      <c r="F90" s="230"/>
      <c r="G90" s="627"/>
      <c r="H90" s="627"/>
      <c r="I90" s="627"/>
      <c r="J90" s="627"/>
      <c r="K90" s="228"/>
      <c r="L90" s="669"/>
      <c r="M90" s="669"/>
      <c r="N90" s="669"/>
      <c r="O90" s="616"/>
      <c r="P90" s="617"/>
      <c r="Q90" s="132"/>
      <c r="R90" s="258" t="s">
        <v>412</v>
      </c>
      <c r="S90" s="264"/>
      <c r="T90" s="260" t="s">
        <v>17</v>
      </c>
      <c r="U90" s="263"/>
      <c r="V90" s="260" t="s">
        <v>98</v>
      </c>
      <c r="W90" s="263"/>
      <c r="X90" s="258" t="s">
        <v>215</v>
      </c>
      <c r="Y90" s="260" t="s">
        <v>254</v>
      </c>
      <c r="Z90" s="205"/>
      <c r="AA90" s="205"/>
      <c r="AB90" s="205"/>
      <c r="AC90" s="205"/>
      <c r="AD90" s="205"/>
      <c r="AE90" s="205"/>
    </row>
    <row r="91" spans="1:31" s="172" customFormat="1" ht="22.5" customHeight="1">
      <c r="A91" s="164">
        <v>4</v>
      </c>
      <c r="B91" s="628"/>
      <c r="C91" s="628"/>
      <c r="D91" s="627"/>
      <c r="E91" s="627"/>
      <c r="F91" s="230"/>
      <c r="G91" s="627"/>
      <c r="H91" s="627"/>
      <c r="I91" s="627"/>
      <c r="J91" s="627"/>
      <c r="K91" s="228"/>
      <c r="L91" s="669"/>
      <c r="M91" s="669"/>
      <c r="N91" s="669"/>
      <c r="O91" s="616"/>
      <c r="P91" s="617"/>
      <c r="Q91" s="132"/>
      <c r="R91" s="258" t="s">
        <v>413</v>
      </c>
      <c r="S91" s="266"/>
      <c r="T91" s="260" t="s">
        <v>18</v>
      </c>
      <c r="U91" s="263"/>
      <c r="V91" s="260" t="s">
        <v>12</v>
      </c>
      <c r="W91" s="263"/>
      <c r="X91" s="258" t="s">
        <v>216</v>
      </c>
      <c r="Y91" s="260" t="s">
        <v>286</v>
      </c>
      <c r="Z91" s="206"/>
      <c r="AA91" s="206"/>
      <c r="AB91" s="206"/>
      <c r="AC91" s="206"/>
      <c r="AD91" s="206"/>
      <c r="AE91" s="206"/>
    </row>
    <row r="92" spans="1:31" s="172" customFormat="1" ht="22.5" customHeight="1">
      <c r="A92" s="164">
        <v>5</v>
      </c>
      <c r="B92" s="628"/>
      <c r="C92" s="628"/>
      <c r="D92" s="627"/>
      <c r="E92" s="627"/>
      <c r="F92" s="230"/>
      <c r="G92" s="627"/>
      <c r="H92" s="627"/>
      <c r="I92" s="627"/>
      <c r="J92" s="627"/>
      <c r="K92" s="228"/>
      <c r="L92" s="669"/>
      <c r="M92" s="669"/>
      <c r="N92" s="669"/>
      <c r="O92" s="616"/>
      <c r="P92" s="617"/>
      <c r="Q92" s="132"/>
      <c r="R92" s="258" t="s">
        <v>414</v>
      </c>
      <c r="S92" s="266"/>
      <c r="T92" s="263"/>
      <c r="U92" s="263"/>
      <c r="V92" s="260" t="s">
        <v>13</v>
      </c>
      <c r="W92" s="263"/>
      <c r="X92" s="258" t="s">
        <v>217</v>
      </c>
      <c r="Y92" s="260" t="s">
        <v>441</v>
      </c>
      <c r="Z92" s="205"/>
      <c r="AA92" s="205"/>
      <c r="AB92" s="205"/>
      <c r="AC92" s="205"/>
      <c r="AD92" s="205"/>
      <c r="AE92" s="205"/>
    </row>
    <row r="93" spans="1:31" s="172" customFormat="1" ht="22.5" customHeight="1">
      <c r="A93" s="164">
        <v>6</v>
      </c>
      <c r="B93" s="628"/>
      <c r="C93" s="628"/>
      <c r="D93" s="627"/>
      <c r="E93" s="627"/>
      <c r="F93" s="230"/>
      <c r="G93" s="627"/>
      <c r="H93" s="627"/>
      <c r="I93" s="627"/>
      <c r="J93" s="627"/>
      <c r="K93" s="228"/>
      <c r="L93" s="669"/>
      <c r="M93" s="669"/>
      <c r="N93" s="669"/>
      <c r="O93" s="616"/>
      <c r="P93" s="617"/>
      <c r="Q93" s="132"/>
      <c r="R93" s="258" t="s">
        <v>415</v>
      </c>
      <c r="S93" s="266"/>
      <c r="T93" s="263"/>
      <c r="U93" s="263"/>
      <c r="V93" s="263"/>
      <c r="W93" s="263"/>
      <c r="X93" s="258" t="s">
        <v>218</v>
      </c>
      <c r="Y93" s="260" t="s">
        <v>255</v>
      </c>
      <c r="Z93" s="205"/>
      <c r="AA93" s="205"/>
      <c r="AB93" s="205"/>
      <c r="AC93" s="205"/>
      <c r="AD93" s="205"/>
      <c r="AE93" s="205"/>
    </row>
    <row r="94" spans="1:31" s="172" customFormat="1" ht="22.5" customHeight="1">
      <c r="A94" s="164">
        <v>7</v>
      </c>
      <c r="B94" s="628"/>
      <c r="C94" s="628"/>
      <c r="D94" s="627"/>
      <c r="E94" s="627"/>
      <c r="F94" s="230"/>
      <c r="G94" s="627"/>
      <c r="H94" s="627"/>
      <c r="I94" s="627"/>
      <c r="J94" s="627"/>
      <c r="K94" s="228"/>
      <c r="L94" s="669"/>
      <c r="M94" s="669"/>
      <c r="N94" s="669"/>
      <c r="O94" s="616"/>
      <c r="P94" s="617"/>
      <c r="Q94" s="132"/>
      <c r="R94" s="258" t="s">
        <v>416</v>
      </c>
      <c r="S94" s="266"/>
      <c r="T94" s="263"/>
      <c r="U94" s="263"/>
      <c r="V94" s="263"/>
      <c r="W94" s="263"/>
      <c r="X94" s="258" t="s">
        <v>219</v>
      </c>
      <c r="Y94" s="260" t="s">
        <v>427</v>
      </c>
      <c r="Z94" s="205"/>
      <c r="AA94" s="205"/>
      <c r="AB94" s="205"/>
      <c r="AC94" s="205"/>
      <c r="AD94" s="205"/>
      <c r="AE94" s="205"/>
    </row>
    <row r="95" spans="1:31" s="172" customFormat="1" ht="22.5" customHeight="1">
      <c r="A95" s="164">
        <v>8</v>
      </c>
      <c r="B95" s="628"/>
      <c r="C95" s="628"/>
      <c r="D95" s="627"/>
      <c r="E95" s="627"/>
      <c r="F95" s="230"/>
      <c r="G95" s="627"/>
      <c r="H95" s="627"/>
      <c r="I95" s="627"/>
      <c r="J95" s="627"/>
      <c r="K95" s="228"/>
      <c r="L95" s="669"/>
      <c r="M95" s="669"/>
      <c r="N95" s="669"/>
      <c r="O95" s="616"/>
      <c r="P95" s="617"/>
      <c r="Q95" s="132"/>
      <c r="R95" s="258" t="s">
        <v>417</v>
      </c>
      <c r="S95" s="266"/>
      <c r="T95" s="263"/>
      <c r="U95" s="263"/>
      <c r="V95" s="263"/>
      <c r="W95" s="263"/>
      <c r="X95" s="258" t="s">
        <v>221</v>
      </c>
      <c r="Y95" s="258" t="s">
        <v>532</v>
      </c>
      <c r="Z95" s="205"/>
      <c r="AA95" s="205"/>
      <c r="AB95" s="205"/>
      <c r="AC95" s="205"/>
      <c r="AD95" s="205"/>
      <c r="AE95" s="205"/>
    </row>
    <row r="96" spans="1:31" s="172" customFormat="1" ht="22.5" customHeight="1">
      <c r="A96" s="164">
        <v>9</v>
      </c>
      <c r="B96" s="628"/>
      <c r="C96" s="628"/>
      <c r="D96" s="627"/>
      <c r="E96" s="627"/>
      <c r="F96" s="230"/>
      <c r="G96" s="627"/>
      <c r="H96" s="627"/>
      <c r="I96" s="627"/>
      <c r="J96" s="627"/>
      <c r="K96" s="228"/>
      <c r="L96" s="669"/>
      <c r="M96" s="669"/>
      <c r="N96" s="669"/>
      <c r="O96" s="616"/>
      <c r="P96" s="617"/>
      <c r="Q96" s="132"/>
      <c r="R96" s="258" t="s">
        <v>418</v>
      </c>
      <c r="S96" s="263"/>
      <c r="T96" s="263"/>
      <c r="U96" s="263"/>
      <c r="V96" s="263"/>
      <c r="W96" s="263"/>
      <c r="X96" s="258" t="s">
        <v>220</v>
      </c>
      <c r="Y96" s="266"/>
      <c r="Z96" s="205"/>
      <c r="AA96" s="205"/>
      <c r="AB96" s="205"/>
      <c r="AC96" s="205"/>
      <c r="AD96" s="205"/>
      <c r="AE96" s="205"/>
    </row>
    <row r="97" spans="1:39" s="172" customFormat="1" ht="22.5" customHeight="1" thickBot="1">
      <c r="A97" s="165">
        <v>10</v>
      </c>
      <c r="B97" s="658"/>
      <c r="C97" s="658"/>
      <c r="D97" s="342"/>
      <c r="E97" s="342"/>
      <c r="F97" s="231"/>
      <c r="G97" s="342"/>
      <c r="H97" s="342"/>
      <c r="I97" s="342"/>
      <c r="J97" s="342"/>
      <c r="K97" s="229"/>
      <c r="L97" s="670"/>
      <c r="M97" s="670"/>
      <c r="N97" s="670"/>
      <c r="O97" s="659"/>
      <c r="P97" s="660"/>
      <c r="Q97" s="132"/>
      <c r="R97" s="258" t="s">
        <v>419</v>
      </c>
      <c r="S97" s="263"/>
      <c r="T97" s="263"/>
      <c r="U97" s="263"/>
      <c r="V97" s="263"/>
      <c r="W97" s="263"/>
      <c r="X97" s="258" t="s">
        <v>222</v>
      </c>
      <c r="Y97" s="266"/>
      <c r="Z97" s="206"/>
      <c r="AA97" s="206"/>
      <c r="AB97" s="206"/>
      <c r="AC97" s="206"/>
      <c r="AD97" s="206"/>
      <c r="AE97" s="206"/>
    </row>
    <row r="98" spans="1:39" s="172" customFormat="1" ht="12" customHeight="1">
      <c r="A98" s="225"/>
      <c r="B98" s="26"/>
      <c r="C98" s="26"/>
      <c r="D98" s="190"/>
      <c r="E98" s="190"/>
      <c r="F98" s="190"/>
      <c r="G98" s="190"/>
      <c r="H98" s="158"/>
      <c r="I98" s="220"/>
      <c r="J98" s="5"/>
      <c r="K98" s="3"/>
      <c r="L98" s="5"/>
      <c r="M98" s="3"/>
      <c r="N98" s="3"/>
      <c r="O98" s="3"/>
      <c r="P98" s="3"/>
      <c r="R98" s="257"/>
      <c r="S98" s="257"/>
      <c r="T98" s="257"/>
      <c r="U98" s="257"/>
      <c r="V98" s="257"/>
      <c r="W98" s="257"/>
      <c r="X98" s="258" t="s">
        <v>223</v>
      </c>
      <c r="Y98" s="266"/>
    </row>
    <row r="99" spans="1:39" s="172" customFormat="1" ht="28.5" customHeight="1">
      <c r="A99" s="5" t="s">
        <v>494</v>
      </c>
      <c r="B99" s="26"/>
      <c r="C99" s="26"/>
      <c r="D99" s="190"/>
      <c r="E99" s="190"/>
      <c r="F99" s="190"/>
      <c r="G99" s="190"/>
      <c r="H99" s="158"/>
      <c r="I99" s="220"/>
      <c r="J99" s="5"/>
      <c r="K99" s="3"/>
      <c r="L99" s="5"/>
      <c r="M99" s="3"/>
      <c r="N99" s="3"/>
      <c r="O99" s="3"/>
      <c r="P99" s="3"/>
      <c r="X99" s="258" t="s">
        <v>474</v>
      </c>
    </row>
    <row r="100" spans="1:39" s="172" customFormat="1" ht="20.25" customHeight="1" thickBot="1">
      <c r="A100" s="678" t="s">
        <v>463</v>
      </c>
      <c r="B100" s="678"/>
      <c r="C100" s="678"/>
      <c r="D100" s="678"/>
      <c r="E100" s="678"/>
      <c r="F100" s="678"/>
      <c r="G100" s="678"/>
      <c r="H100" s="678"/>
      <c r="I100" s="678"/>
      <c r="J100" s="678"/>
      <c r="K100" s="678"/>
      <c r="L100" s="678"/>
      <c r="M100" s="678"/>
      <c r="N100" s="678"/>
      <c r="O100" s="678"/>
      <c r="P100" s="678"/>
      <c r="X100" s="258" t="s">
        <v>473</v>
      </c>
    </row>
    <row r="101" spans="1:39" s="172" customFormat="1" ht="20.25" customHeight="1">
      <c r="A101" s="672"/>
      <c r="B101" s="673"/>
      <c r="C101" s="673"/>
      <c r="D101" s="673"/>
      <c r="E101" s="673"/>
      <c r="F101" s="673"/>
      <c r="G101" s="673"/>
      <c r="H101" s="673"/>
      <c r="I101" s="673"/>
      <c r="J101" s="673"/>
      <c r="K101" s="673"/>
      <c r="L101" s="673"/>
      <c r="M101" s="673"/>
      <c r="N101" s="673"/>
      <c r="O101" s="673"/>
      <c r="P101" s="674"/>
      <c r="X101" s="258" t="s">
        <v>114</v>
      </c>
    </row>
    <row r="102" spans="1:39" s="172" customFormat="1" ht="20.25" customHeight="1">
      <c r="A102" s="672"/>
      <c r="B102" s="673"/>
      <c r="C102" s="673"/>
      <c r="D102" s="673"/>
      <c r="E102" s="673"/>
      <c r="F102" s="673"/>
      <c r="G102" s="673"/>
      <c r="H102" s="673"/>
      <c r="I102" s="673"/>
      <c r="J102" s="673"/>
      <c r="K102" s="673"/>
      <c r="L102" s="673"/>
      <c r="M102" s="673"/>
      <c r="N102" s="673"/>
      <c r="O102" s="673"/>
      <c r="P102" s="674"/>
      <c r="X102" s="272" t="s">
        <v>157</v>
      </c>
    </row>
    <row r="103" spans="1:39" s="172" customFormat="1" ht="20.25" customHeight="1" thickBot="1">
      <c r="A103" s="675"/>
      <c r="B103" s="676"/>
      <c r="C103" s="676"/>
      <c r="D103" s="676"/>
      <c r="E103" s="676"/>
      <c r="F103" s="676"/>
      <c r="G103" s="676"/>
      <c r="H103" s="676"/>
      <c r="I103" s="676"/>
      <c r="J103" s="676"/>
      <c r="K103" s="676"/>
      <c r="L103" s="676"/>
      <c r="M103" s="676"/>
      <c r="N103" s="676"/>
      <c r="O103" s="676"/>
      <c r="P103" s="677"/>
    </row>
    <row r="104" spans="1:39" s="172" customFormat="1" ht="20.25" customHeight="1">
      <c r="A104" s="225"/>
      <c r="B104" s="26"/>
      <c r="C104" s="26"/>
      <c r="D104" s="190"/>
      <c r="E104" s="190"/>
      <c r="F104" s="190"/>
      <c r="G104" s="190"/>
      <c r="H104" s="158"/>
      <c r="I104" s="220"/>
      <c r="J104" s="5"/>
      <c r="K104" s="3"/>
      <c r="L104" s="5"/>
      <c r="M104" s="3"/>
      <c r="N104" s="3"/>
      <c r="O104" s="3"/>
      <c r="P104" s="3"/>
      <c r="X104" s="671" t="s">
        <v>476</v>
      </c>
      <c r="Y104" s="671"/>
      <c r="Z104" s="273"/>
      <c r="AA104" s="273"/>
      <c r="AB104" s="273"/>
      <c r="AC104" s="273"/>
      <c r="AD104" s="273"/>
      <c r="AE104" s="273"/>
      <c r="AF104" s="273"/>
      <c r="AG104" s="273"/>
      <c r="AH104" s="273"/>
      <c r="AI104" s="273"/>
      <c r="AJ104" s="273"/>
      <c r="AK104" s="273"/>
      <c r="AL104" s="273"/>
      <c r="AM104" s="273"/>
    </row>
    <row r="105" spans="1:39" ht="9.65" customHeight="1">
      <c r="A105" s="3"/>
      <c r="B105" s="3"/>
      <c r="C105" s="3"/>
      <c r="D105" s="3"/>
      <c r="E105" s="3"/>
      <c r="F105" s="3"/>
      <c r="G105" s="3"/>
      <c r="H105" s="3"/>
      <c r="I105" s="3"/>
      <c r="J105" s="3"/>
      <c r="K105" s="3"/>
      <c r="L105" s="3"/>
      <c r="M105" s="3"/>
      <c r="N105" s="3"/>
      <c r="O105" s="3"/>
      <c r="P105" s="3"/>
      <c r="X105" s="274"/>
      <c r="Y105" s="274"/>
    </row>
    <row r="106" spans="1:39" ht="30" customHeight="1">
      <c r="A106" s="366" t="s">
        <v>456</v>
      </c>
      <c r="B106" s="366"/>
      <c r="C106" s="366"/>
      <c r="D106" s="366"/>
      <c r="E106" s="366"/>
      <c r="F106" s="366"/>
      <c r="G106" s="366"/>
      <c r="H106" s="366"/>
      <c r="I106" s="366"/>
      <c r="J106" s="366"/>
      <c r="K106" s="366"/>
      <c r="L106" s="366"/>
      <c r="M106" s="366"/>
      <c r="N106" s="366"/>
      <c r="O106" s="366"/>
      <c r="P106" s="366"/>
      <c r="X106" s="671" t="s">
        <v>475</v>
      </c>
      <c r="Y106" s="671"/>
      <c r="Z106" s="273"/>
      <c r="AA106" s="273"/>
      <c r="AB106" s="273"/>
      <c r="AC106" s="273"/>
      <c r="AD106" s="273"/>
      <c r="AE106" s="273"/>
      <c r="AF106" s="273"/>
      <c r="AG106" s="273"/>
      <c r="AH106" s="273"/>
      <c r="AI106" s="273"/>
      <c r="AJ106" s="273"/>
      <c r="AK106" s="273"/>
      <c r="AL106" s="273"/>
      <c r="AM106" s="273"/>
    </row>
    <row r="107" spans="1:39" ht="30" customHeight="1">
      <c r="A107" s="346" t="s">
        <v>325</v>
      </c>
      <c r="B107" s="346"/>
      <c r="C107" s="346"/>
      <c r="D107" s="346"/>
      <c r="E107" s="346"/>
      <c r="F107" s="346"/>
      <c r="G107" s="346"/>
      <c r="H107" s="346"/>
      <c r="I107" s="346"/>
      <c r="J107" s="346"/>
      <c r="K107" s="346"/>
      <c r="L107" s="346"/>
      <c r="M107" s="346"/>
      <c r="N107" s="346"/>
      <c r="O107" s="346"/>
      <c r="P107" s="346"/>
    </row>
    <row r="108" spans="1:39" s="172" customFormat="1" ht="30" customHeight="1" thickBot="1">
      <c r="A108" s="153" t="s">
        <v>326</v>
      </c>
      <c r="B108" s="153"/>
      <c r="C108" s="153"/>
      <c r="D108" s="153"/>
      <c r="E108" s="153"/>
      <c r="F108" s="153"/>
      <c r="G108" s="153"/>
      <c r="H108" s="153"/>
      <c r="I108" s="153"/>
      <c r="J108" s="153"/>
      <c r="K108" s="153"/>
      <c r="L108" s="153"/>
      <c r="M108" s="153"/>
      <c r="N108" s="153"/>
      <c r="O108" s="153"/>
      <c r="P108" s="153"/>
    </row>
    <row r="109" spans="1:39" s="172" customFormat="1" ht="20.149999999999999" customHeight="1" thickBot="1">
      <c r="A109" s="347" t="s">
        <v>327</v>
      </c>
      <c r="B109" s="348"/>
      <c r="C109" s="348"/>
      <c r="D109" s="348"/>
      <c r="E109" s="349"/>
      <c r="F109" s="350"/>
      <c r="G109" s="158" t="s">
        <v>328</v>
      </c>
      <c r="H109" s="134" t="str">
        <f>IF(E109="","いない場合はゼロを入力してください","")</f>
        <v>いない場合はゼロを入力してください</v>
      </c>
      <c r="I109" s="3"/>
      <c r="J109" s="3"/>
      <c r="K109" s="3"/>
      <c r="L109" s="3"/>
      <c r="M109" s="3"/>
      <c r="N109" s="3"/>
      <c r="O109" s="3"/>
      <c r="P109" s="3"/>
    </row>
    <row r="110" spans="1:39" s="172" customFormat="1" ht="21" customHeight="1">
      <c r="A110" s="3" t="s">
        <v>329</v>
      </c>
      <c r="B110" s="150"/>
      <c r="C110" s="150"/>
      <c r="D110" s="150"/>
      <c r="E110" s="150"/>
      <c r="F110" s="150"/>
      <c r="G110" s="3"/>
      <c r="H110" s="3"/>
      <c r="I110" s="3"/>
      <c r="J110" s="3"/>
      <c r="K110" s="3"/>
      <c r="L110" s="3"/>
      <c r="M110" s="3"/>
      <c r="N110" s="3"/>
      <c r="O110" s="3"/>
      <c r="P110" s="3"/>
    </row>
    <row r="111" spans="1:39" s="172" customFormat="1" ht="21" customHeight="1">
      <c r="A111" s="170" t="s">
        <v>330</v>
      </c>
      <c r="B111" s="150"/>
      <c r="C111" s="150"/>
      <c r="D111" s="150"/>
      <c r="E111" s="150"/>
      <c r="F111" s="150"/>
      <c r="G111" s="3"/>
      <c r="H111" s="3"/>
      <c r="I111" s="3"/>
      <c r="J111" s="3"/>
      <c r="K111" s="3"/>
      <c r="L111" s="3"/>
      <c r="M111" s="3"/>
      <c r="N111" s="3"/>
      <c r="O111" s="3"/>
      <c r="P111" s="3"/>
    </row>
    <row r="112" spans="1:39" s="172" customFormat="1" ht="6.65" customHeight="1">
      <c r="A112" s="3"/>
      <c r="B112" s="150"/>
      <c r="C112" s="150"/>
      <c r="D112" s="150"/>
      <c r="E112" s="150"/>
      <c r="F112" s="150"/>
      <c r="G112" s="3"/>
      <c r="H112" s="3"/>
      <c r="I112" s="3"/>
      <c r="J112" s="3"/>
      <c r="K112" s="3"/>
      <c r="L112" s="3"/>
      <c r="M112" s="3"/>
      <c r="N112" s="3"/>
      <c r="O112" s="3"/>
      <c r="P112" s="3"/>
    </row>
    <row r="113" spans="1:16" s="172" customFormat="1" ht="30" customHeight="1" thickBot="1">
      <c r="A113" s="153" t="s">
        <v>331</v>
      </c>
      <c r="B113" s="153"/>
      <c r="C113" s="153"/>
      <c r="D113" s="153"/>
      <c r="E113" s="153"/>
      <c r="F113" s="153"/>
      <c r="G113" s="153"/>
      <c r="H113" s="153"/>
      <c r="I113" s="153"/>
      <c r="J113" s="153"/>
      <c r="K113" s="153"/>
      <c r="L113" s="153"/>
      <c r="M113" s="153"/>
      <c r="N113" s="153"/>
      <c r="O113" s="153"/>
      <c r="P113" s="153"/>
    </row>
    <row r="114" spans="1:16" s="2" customFormat="1" ht="18.649999999999999" customHeight="1">
      <c r="A114" s="435" t="s">
        <v>332</v>
      </c>
      <c r="B114" s="436"/>
      <c r="C114" s="436"/>
      <c r="D114" s="436"/>
      <c r="E114" s="436"/>
      <c r="F114" s="436"/>
      <c r="G114" s="436"/>
      <c r="H114" s="437"/>
      <c r="I114" s="438" t="s">
        <v>333</v>
      </c>
      <c r="J114" s="436"/>
      <c r="K114" s="436"/>
      <c r="L114" s="436"/>
      <c r="M114" s="436"/>
      <c r="N114" s="436"/>
      <c r="O114" s="436"/>
      <c r="P114" s="439"/>
    </row>
    <row r="115" spans="1:16" s="2" customFormat="1" ht="19" customHeight="1">
      <c r="A115" s="375" t="s">
        <v>334</v>
      </c>
      <c r="B115" s="374"/>
      <c r="C115" s="374"/>
      <c r="D115" s="111"/>
      <c r="E115" s="374" t="s">
        <v>335</v>
      </c>
      <c r="F115" s="374"/>
      <c r="G115" s="374"/>
      <c r="H115" s="113"/>
      <c r="I115" s="440" t="s">
        <v>336</v>
      </c>
      <c r="J115" s="368"/>
      <c r="K115" s="373"/>
      <c r="L115" s="114"/>
      <c r="M115" s="441" t="s">
        <v>337</v>
      </c>
      <c r="N115" s="441"/>
      <c r="O115" s="441"/>
      <c r="P115" s="115"/>
    </row>
    <row r="116" spans="1:16" s="2" customFormat="1" ht="19" customHeight="1">
      <c r="A116" s="375" t="s">
        <v>338</v>
      </c>
      <c r="B116" s="374"/>
      <c r="C116" s="374"/>
      <c r="D116" s="111"/>
      <c r="E116" s="374" t="s">
        <v>339</v>
      </c>
      <c r="F116" s="374"/>
      <c r="G116" s="374"/>
      <c r="H116" s="113"/>
      <c r="I116" s="440" t="s">
        <v>340</v>
      </c>
      <c r="J116" s="368"/>
      <c r="K116" s="373"/>
      <c r="L116" s="114"/>
      <c r="M116" s="441" t="s">
        <v>339</v>
      </c>
      <c r="N116" s="441"/>
      <c r="O116" s="441"/>
      <c r="P116" s="115"/>
    </row>
    <row r="117" spans="1:16" s="2" customFormat="1" ht="19" customHeight="1">
      <c r="A117" s="375" t="s">
        <v>340</v>
      </c>
      <c r="B117" s="374"/>
      <c r="C117" s="374"/>
      <c r="D117" s="111"/>
      <c r="E117" s="374" t="s">
        <v>341</v>
      </c>
      <c r="F117" s="374"/>
      <c r="G117" s="374"/>
      <c r="H117" s="113"/>
      <c r="I117" s="440" t="s">
        <v>342</v>
      </c>
      <c r="J117" s="368"/>
      <c r="K117" s="373"/>
      <c r="L117" s="114"/>
      <c r="M117" s="441" t="s">
        <v>341</v>
      </c>
      <c r="N117" s="441"/>
      <c r="O117" s="441"/>
      <c r="P117" s="115"/>
    </row>
    <row r="118" spans="1:16" s="2" customFormat="1" ht="19" customHeight="1">
      <c r="A118" s="375" t="s">
        <v>342</v>
      </c>
      <c r="B118" s="374"/>
      <c r="C118" s="374"/>
      <c r="D118" s="111"/>
      <c r="E118" s="151" t="s">
        <v>343</v>
      </c>
      <c r="F118" s="151"/>
      <c r="G118" s="151"/>
      <c r="H118" s="113"/>
      <c r="I118" s="440" t="s">
        <v>344</v>
      </c>
      <c r="J118" s="368"/>
      <c r="K118" s="373"/>
      <c r="L118" s="114"/>
      <c r="M118" s="441" t="s">
        <v>345</v>
      </c>
      <c r="N118" s="441"/>
      <c r="O118" s="441"/>
      <c r="P118" s="115"/>
    </row>
    <row r="119" spans="1:16" s="2" customFormat="1" ht="19" customHeight="1">
      <c r="A119" s="375" t="s">
        <v>346</v>
      </c>
      <c r="B119" s="374"/>
      <c r="C119" s="374"/>
      <c r="D119" s="111"/>
      <c r="E119" s="374" t="s">
        <v>347</v>
      </c>
      <c r="F119" s="374"/>
      <c r="G119" s="374"/>
      <c r="H119" s="113"/>
      <c r="I119" s="440" t="s">
        <v>348</v>
      </c>
      <c r="J119" s="368"/>
      <c r="K119" s="373"/>
      <c r="L119" s="114"/>
      <c r="M119" s="441" t="s">
        <v>349</v>
      </c>
      <c r="N119" s="441"/>
      <c r="O119" s="441"/>
      <c r="P119" s="115"/>
    </row>
    <row r="120" spans="1:16" s="2" customFormat="1" ht="19" customHeight="1">
      <c r="A120" s="375" t="s">
        <v>350</v>
      </c>
      <c r="B120" s="374"/>
      <c r="C120" s="374"/>
      <c r="D120" s="111"/>
      <c r="E120" s="374" t="s">
        <v>351</v>
      </c>
      <c r="F120" s="374"/>
      <c r="G120" s="374"/>
      <c r="H120" s="113"/>
      <c r="I120" s="440" t="s">
        <v>352</v>
      </c>
      <c r="J120" s="368"/>
      <c r="K120" s="373"/>
      <c r="L120" s="114"/>
      <c r="M120" s="441" t="s">
        <v>351</v>
      </c>
      <c r="N120" s="441"/>
      <c r="O120" s="441"/>
      <c r="P120" s="115"/>
    </row>
    <row r="121" spans="1:16" s="2" customFormat="1" ht="19" customHeight="1">
      <c r="A121" s="375" t="s">
        <v>353</v>
      </c>
      <c r="B121" s="374"/>
      <c r="C121" s="374"/>
      <c r="D121" s="111"/>
      <c r="E121" s="374" t="s">
        <v>354</v>
      </c>
      <c r="F121" s="374"/>
      <c r="G121" s="374"/>
      <c r="H121" s="113"/>
      <c r="I121" s="440" t="s">
        <v>355</v>
      </c>
      <c r="J121" s="368"/>
      <c r="K121" s="373"/>
      <c r="L121" s="114"/>
      <c r="M121" s="441" t="s">
        <v>356</v>
      </c>
      <c r="N121" s="441"/>
      <c r="O121" s="441"/>
      <c r="P121" s="115"/>
    </row>
    <row r="122" spans="1:16" s="2" customFormat="1" ht="19" customHeight="1">
      <c r="A122" s="375" t="s">
        <v>352</v>
      </c>
      <c r="B122" s="374"/>
      <c r="C122" s="374"/>
      <c r="D122" s="111"/>
      <c r="E122" s="374" t="s">
        <v>357</v>
      </c>
      <c r="F122" s="374"/>
      <c r="G122" s="374"/>
      <c r="H122" s="113"/>
      <c r="I122" s="440" t="s">
        <v>358</v>
      </c>
      <c r="J122" s="368"/>
      <c r="K122" s="373"/>
      <c r="L122" s="114"/>
      <c r="M122" s="441" t="s">
        <v>357</v>
      </c>
      <c r="N122" s="441"/>
      <c r="O122" s="441"/>
      <c r="P122" s="115"/>
    </row>
    <row r="123" spans="1:16" s="2" customFormat="1" ht="19" customHeight="1">
      <c r="A123" s="375" t="s">
        <v>355</v>
      </c>
      <c r="B123" s="374"/>
      <c r="C123" s="374"/>
      <c r="D123" s="111"/>
      <c r="E123" s="374" t="s">
        <v>359</v>
      </c>
      <c r="F123" s="374"/>
      <c r="G123" s="374"/>
      <c r="H123" s="113"/>
      <c r="I123" s="440" t="s">
        <v>360</v>
      </c>
      <c r="J123" s="368"/>
      <c r="K123" s="373"/>
      <c r="L123" s="114"/>
      <c r="M123" s="441" t="s">
        <v>361</v>
      </c>
      <c r="N123" s="441"/>
      <c r="O123" s="441"/>
      <c r="P123" s="116"/>
    </row>
    <row r="124" spans="1:16" s="2" customFormat="1" ht="19" customHeight="1">
      <c r="A124" s="375" t="s">
        <v>362</v>
      </c>
      <c r="B124" s="374"/>
      <c r="C124" s="374"/>
      <c r="D124" s="111"/>
      <c r="E124" s="374" t="s">
        <v>363</v>
      </c>
      <c r="F124" s="374"/>
      <c r="G124" s="374"/>
      <c r="H124" s="113"/>
      <c r="I124" s="459"/>
      <c r="J124" s="460"/>
      <c r="K124" s="461"/>
      <c r="L124" s="465"/>
      <c r="M124" s="441" t="s">
        <v>364</v>
      </c>
      <c r="N124" s="441"/>
      <c r="O124" s="441"/>
      <c r="P124" s="116"/>
    </row>
    <row r="125" spans="1:16" s="2" customFormat="1" ht="19" customHeight="1" thickBot="1">
      <c r="A125" s="380" t="s">
        <v>360</v>
      </c>
      <c r="B125" s="381"/>
      <c r="C125" s="381"/>
      <c r="D125" s="112"/>
      <c r="E125" s="472"/>
      <c r="F125" s="472"/>
      <c r="G125" s="472"/>
      <c r="H125" s="15"/>
      <c r="I125" s="462"/>
      <c r="J125" s="463"/>
      <c r="K125" s="464"/>
      <c r="L125" s="466"/>
      <c r="M125" s="445"/>
      <c r="N125" s="445"/>
      <c r="O125" s="445"/>
      <c r="P125" s="14"/>
    </row>
    <row r="126" spans="1:16" s="2" customFormat="1" ht="8.5" customHeight="1" thickBot="1">
      <c r="A126" s="21"/>
      <c r="B126" s="21"/>
      <c r="C126" s="21"/>
      <c r="D126" s="8"/>
      <c r="E126" s="21"/>
      <c r="F126" s="21"/>
      <c r="G126" s="21"/>
      <c r="H126" s="9"/>
      <c r="I126" s="21"/>
      <c r="J126" s="21"/>
      <c r="K126" s="21"/>
      <c r="L126" s="9"/>
      <c r="M126" s="154"/>
      <c r="N126" s="154"/>
      <c r="O126" s="154"/>
      <c r="P126" s="9"/>
    </row>
    <row r="127" spans="1:16" s="2" customFormat="1" ht="19" customHeight="1" thickBot="1">
      <c r="A127" s="470" t="s">
        <v>365</v>
      </c>
      <c r="B127" s="471"/>
      <c r="C127" s="471"/>
      <c r="D127" s="117"/>
      <c r="E127" s="420"/>
      <c r="F127" s="420"/>
      <c r="G127" s="420"/>
      <c r="H127" s="10"/>
      <c r="I127" s="10"/>
      <c r="J127" s="10"/>
      <c r="K127" s="10"/>
      <c r="L127" s="10"/>
      <c r="M127" s="10"/>
      <c r="N127" s="10"/>
      <c r="O127" s="10"/>
      <c r="P127" s="10"/>
    </row>
    <row r="128" spans="1:16" s="75" customFormat="1" ht="9.65" customHeight="1">
      <c r="A128" s="71"/>
      <c r="B128" s="71"/>
      <c r="C128" s="71"/>
      <c r="D128" s="72"/>
      <c r="E128" s="73"/>
      <c r="F128" s="73"/>
      <c r="G128" s="73"/>
      <c r="H128" s="74"/>
      <c r="I128" s="74"/>
      <c r="J128" s="74"/>
      <c r="K128" s="74"/>
      <c r="L128" s="74"/>
      <c r="M128" s="74"/>
      <c r="N128" s="74"/>
      <c r="O128" s="74"/>
      <c r="P128" s="74"/>
    </row>
    <row r="129" spans="1:16" s="2" customFormat="1" ht="41.15" customHeight="1" thickBot="1">
      <c r="A129" s="365" t="s">
        <v>131</v>
      </c>
      <c r="B129" s="365"/>
      <c r="C129" s="365"/>
      <c r="D129" s="365"/>
      <c r="E129" s="365"/>
      <c r="F129" s="365"/>
      <c r="G129" s="365"/>
      <c r="H129" s="365"/>
      <c r="I129" s="365"/>
      <c r="J129" s="365"/>
      <c r="K129" s="365"/>
      <c r="L129" s="365"/>
      <c r="M129" s="365"/>
      <c r="N129" s="365"/>
      <c r="O129" s="365"/>
      <c r="P129" s="365"/>
    </row>
    <row r="130" spans="1:16" s="2" customFormat="1" ht="19" customHeight="1">
      <c r="A130" s="108"/>
      <c r="B130" s="421" t="s">
        <v>142</v>
      </c>
      <c r="C130" s="422"/>
      <c r="D130" s="422"/>
      <c r="E130" s="422"/>
      <c r="F130" s="422"/>
      <c r="G130" s="422"/>
      <c r="H130" s="422"/>
      <c r="I130" s="423"/>
      <c r="J130" s="10"/>
      <c r="K130" s="104"/>
      <c r="L130" s="104"/>
      <c r="M130" s="104"/>
      <c r="N130" s="104"/>
      <c r="O130" s="104"/>
      <c r="P130" s="104"/>
    </row>
    <row r="131" spans="1:16" s="2" customFormat="1" ht="19" customHeight="1">
      <c r="A131" s="109"/>
      <c r="B131" s="367" t="s">
        <v>137</v>
      </c>
      <c r="C131" s="368"/>
      <c r="D131" s="368"/>
      <c r="E131" s="368"/>
      <c r="F131" s="368"/>
      <c r="G131" s="368"/>
      <c r="H131" s="368"/>
      <c r="I131" s="369"/>
      <c r="J131" s="10"/>
      <c r="K131" s="104"/>
      <c r="L131" s="104"/>
      <c r="M131" s="104"/>
      <c r="N131" s="104"/>
      <c r="O131" s="104"/>
      <c r="P131" s="104"/>
    </row>
    <row r="132" spans="1:16" s="2" customFormat="1" ht="19" customHeight="1">
      <c r="A132" s="109"/>
      <c r="B132" s="367" t="s">
        <v>139</v>
      </c>
      <c r="C132" s="368"/>
      <c r="D132" s="368"/>
      <c r="E132" s="368"/>
      <c r="F132" s="368"/>
      <c r="G132" s="368"/>
      <c r="H132" s="368"/>
      <c r="I132" s="369"/>
      <c r="J132" s="10"/>
      <c r="K132" s="104"/>
      <c r="L132" s="104"/>
      <c r="M132" s="104"/>
      <c r="N132" s="104"/>
      <c r="O132" s="104"/>
      <c r="P132" s="104"/>
    </row>
    <row r="133" spans="1:16" s="2" customFormat="1" ht="19" customHeight="1">
      <c r="A133" s="109"/>
      <c r="B133" s="367" t="s">
        <v>141</v>
      </c>
      <c r="C133" s="368"/>
      <c r="D133" s="368"/>
      <c r="E133" s="368"/>
      <c r="F133" s="368"/>
      <c r="G133" s="368"/>
      <c r="H133" s="368"/>
      <c r="I133" s="369"/>
      <c r="J133" s="10"/>
      <c r="K133" s="10"/>
      <c r="L133" s="10"/>
      <c r="M133" s="10"/>
      <c r="N133" s="10"/>
      <c r="O133" s="10"/>
      <c r="P133" s="10"/>
    </row>
    <row r="134" spans="1:16" s="2" customFormat="1" ht="19" customHeight="1">
      <c r="A134" s="109"/>
      <c r="B134" s="367" t="s">
        <v>144</v>
      </c>
      <c r="C134" s="368"/>
      <c r="D134" s="368"/>
      <c r="E134" s="368"/>
      <c r="F134" s="368"/>
      <c r="G134" s="368"/>
      <c r="H134" s="368"/>
      <c r="I134" s="369"/>
      <c r="J134" s="10"/>
      <c r="K134" s="10"/>
      <c r="L134" s="10"/>
      <c r="M134" s="10"/>
      <c r="N134" s="10"/>
      <c r="O134" s="10"/>
      <c r="P134" s="10"/>
    </row>
    <row r="135" spans="1:16" s="2" customFormat="1" ht="19" customHeight="1">
      <c r="A135" s="109"/>
      <c r="B135" s="367" t="s">
        <v>138</v>
      </c>
      <c r="C135" s="368"/>
      <c r="D135" s="368"/>
      <c r="E135" s="368"/>
      <c r="F135" s="368"/>
      <c r="G135" s="368"/>
      <c r="H135" s="368"/>
      <c r="I135" s="369"/>
      <c r="J135" s="10"/>
      <c r="K135" s="10"/>
      <c r="L135" s="10"/>
      <c r="M135" s="10"/>
      <c r="N135" s="10"/>
      <c r="O135" s="10"/>
      <c r="P135" s="10"/>
    </row>
    <row r="136" spans="1:16" s="2" customFormat="1" ht="19" customHeight="1">
      <c r="A136" s="109"/>
      <c r="B136" s="367" t="s">
        <v>140</v>
      </c>
      <c r="C136" s="368"/>
      <c r="D136" s="368"/>
      <c r="E136" s="368"/>
      <c r="F136" s="368"/>
      <c r="G136" s="368"/>
      <c r="H136" s="368"/>
      <c r="I136" s="369"/>
      <c r="J136" s="10"/>
      <c r="K136" s="10"/>
      <c r="L136" s="10"/>
      <c r="M136" s="10"/>
      <c r="N136" s="10"/>
      <c r="O136" s="10"/>
      <c r="P136" s="10"/>
    </row>
    <row r="137" spans="1:16" s="2" customFormat="1" ht="19" customHeight="1" thickBot="1">
      <c r="A137" s="110"/>
      <c r="B137" s="382" t="s">
        <v>129</v>
      </c>
      <c r="C137" s="378"/>
      <c r="D137" s="473"/>
      <c r="E137" s="473"/>
      <c r="F137" s="473"/>
      <c r="G137" s="473"/>
      <c r="H137" s="473"/>
      <c r="I137" s="76" t="s">
        <v>19</v>
      </c>
      <c r="J137" s="107" t="str">
        <f>IF(OR(AND(A137="",D137=""),AND(A137&lt;&gt;"", D137&lt;&gt;"")),"","チェックを入れた場合はその内容を記載してください")</f>
        <v/>
      </c>
      <c r="K137" s="10"/>
      <c r="L137" s="173"/>
      <c r="M137" s="10"/>
      <c r="N137" s="10"/>
      <c r="O137" s="10"/>
      <c r="P137" s="10"/>
    </row>
    <row r="138" spans="1:16" ht="9.65" customHeight="1">
      <c r="A138" s="19"/>
      <c r="B138" s="7"/>
      <c r="C138" s="7"/>
      <c r="D138" s="7"/>
      <c r="E138" s="7"/>
      <c r="F138" s="3"/>
      <c r="G138" s="3"/>
      <c r="H138" s="3"/>
      <c r="I138" s="3"/>
      <c r="J138" s="3"/>
      <c r="K138" s="3"/>
      <c r="L138" s="3"/>
      <c r="M138" s="3"/>
      <c r="N138" s="3"/>
      <c r="O138" s="3"/>
      <c r="P138" s="3"/>
    </row>
    <row r="139" spans="1:16" s="69" customFormat="1" ht="30" customHeight="1">
      <c r="A139" s="69" t="s">
        <v>130</v>
      </c>
    </row>
    <row r="140" spans="1:16" ht="22.5" customHeight="1" thickBot="1">
      <c r="A140" s="682" t="s">
        <v>313</v>
      </c>
      <c r="B140" s="682"/>
      <c r="C140" s="682"/>
      <c r="D140" s="682"/>
      <c r="E140" s="682"/>
      <c r="F140" s="682"/>
      <c r="G140" s="682"/>
      <c r="H140" s="682"/>
      <c r="I140" s="682"/>
      <c r="J140" s="220" t="str">
        <f>IF(COUNTIF(A141:A143,"✓")=1,"","（どれか一つにチェック）")</f>
        <v>（どれか一つにチェック）</v>
      </c>
      <c r="K140" s="317"/>
      <c r="L140" s="317"/>
      <c r="M140" s="317"/>
      <c r="N140" s="317"/>
      <c r="O140" s="317"/>
      <c r="P140" s="317"/>
    </row>
    <row r="141" spans="1:16" ht="20.149999999999999" customHeight="1">
      <c r="A141" s="108"/>
      <c r="B141" s="467" t="s">
        <v>124</v>
      </c>
      <c r="C141" s="468"/>
      <c r="D141" s="468"/>
      <c r="E141" s="468"/>
      <c r="F141" s="468"/>
      <c r="G141" s="469"/>
      <c r="H141" s="39"/>
      <c r="I141" s="170" t="str">
        <f>IF(A141="✓","⇒（５）を回答してください","")</f>
        <v/>
      </c>
      <c r="J141" s="3"/>
      <c r="K141" s="3"/>
      <c r="L141" s="3"/>
      <c r="M141" s="3"/>
      <c r="N141" s="3"/>
      <c r="O141" s="3"/>
      <c r="P141" s="3"/>
    </row>
    <row r="142" spans="1:16" ht="20.149999999999999" customHeight="1">
      <c r="A142" s="118"/>
      <c r="B142" s="360" t="s">
        <v>122</v>
      </c>
      <c r="C142" s="360"/>
      <c r="D142" s="360"/>
      <c r="E142" s="360"/>
      <c r="F142" s="360"/>
      <c r="G142" s="361"/>
      <c r="H142" s="173"/>
      <c r="I142" s="679" t="str">
        <f>IF(A142="✓","⇒２　特定行為研修終了看護師について回答してください","")</f>
        <v/>
      </c>
      <c r="J142" s="679"/>
      <c r="K142" s="679"/>
      <c r="L142" s="679"/>
      <c r="M142" s="679"/>
      <c r="N142" s="679"/>
      <c r="O142" s="679"/>
      <c r="P142" s="679"/>
    </row>
    <row r="143" spans="1:16" ht="20.149999999999999" customHeight="1" thickBot="1">
      <c r="A143" s="110"/>
      <c r="B143" s="411" t="s">
        <v>101</v>
      </c>
      <c r="C143" s="412"/>
      <c r="D143" s="412"/>
      <c r="E143" s="412"/>
      <c r="F143" s="412"/>
      <c r="G143" s="413"/>
      <c r="H143" s="39"/>
      <c r="I143" s="170" t="str">
        <f>IF(A143="✓","⇒（６）を回答してください","")</f>
        <v/>
      </c>
      <c r="J143" s="3"/>
      <c r="K143" s="3"/>
      <c r="L143" s="3"/>
      <c r="M143" s="3"/>
      <c r="N143" s="3"/>
      <c r="O143" s="3"/>
      <c r="P143" s="3"/>
    </row>
    <row r="144" spans="1:16" ht="9.65" customHeight="1">
      <c r="A144" s="68"/>
      <c r="B144" s="7"/>
      <c r="C144" s="7"/>
      <c r="D144" s="7"/>
      <c r="E144" s="7"/>
      <c r="F144" s="3"/>
      <c r="G144" s="3"/>
      <c r="H144" s="3"/>
      <c r="I144" s="3"/>
      <c r="J144" s="3"/>
      <c r="K144" s="3"/>
      <c r="L144" s="3"/>
      <c r="M144" s="3"/>
      <c r="N144" s="3"/>
      <c r="O144" s="3"/>
      <c r="P144" s="3"/>
    </row>
    <row r="145" spans="1:16" s="145" customFormat="1" ht="30" customHeight="1">
      <c r="A145" s="145" t="s">
        <v>309</v>
      </c>
    </row>
    <row r="146" spans="1:16" ht="18.5" thickBot="1">
      <c r="A146" s="7" t="s">
        <v>310</v>
      </c>
      <c r="B146" s="7"/>
      <c r="C146" s="7"/>
      <c r="D146" s="7"/>
      <c r="E146" s="7"/>
      <c r="F146" s="3"/>
      <c r="G146" s="3"/>
      <c r="H146" s="3"/>
      <c r="I146" s="3"/>
      <c r="J146" s="3"/>
      <c r="K146" s="3"/>
      <c r="L146" s="3"/>
      <c r="M146" s="3"/>
      <c r="N146" s="3"/>
      <c r="O146" s="3"/>
      <c r="P146" s="3"/>
    </row>
    <row r="147" spans="1:16" ht="43" customHeight="1" thickBot="1">
      <c r="A147" s="414"/>
      <c r="B147" s="415"/>
      <c r="C147" s="415"/>
      <c r="D147" s="415"/>
      <c r="E147" s="415"/>
      <c r="F147" s="415"/>
      <c r="G147" s="415"/>
      <c r="H147" s="415"/>
      <c r="I147" s="415"/>
      <c r="J147" s="415"/>
      <c r="K147" s="415"/>
      <c r="L147" s="415"/>
      <c r="M147" s="415"/>
      <c r="N147" s="415"/>
      <c r="O147" s="415"/>
      <c r="P147" s="416"/>
    </row>
    <row r="148" spans="1:16" ht="9.65" customHeight="1">
      <c r="A148" s="62"/>
      <c r="B148" s="7"/>
      <c r="C148" s="7"/>
      <c r="D148" s="7"/>
      <c r="E148" s="7"/>
      <c r="F148" s="3"/>
      <c r="G148" s="3"/>
      <c r="H148" s="3"/>
      <c r="I148" s="3"/>
      <c r="J148" s="3"/>
      <c r="K148" s="3"/>
      <c r="L148" s="3"/>
      <c r="M148" s="3"/>
      <c r="N148" s="3"/>
      <c r="O148" s="3"/>
      <c r="P148" s="3"/>
    </row>
    <row r="149" spans="1:16" ht="30" customHeight="1" thickBot="1">
      <c r="A149" s="20" t="s">
        <v>311</v>
      </c>
      <c r="B149" s="20"/>
      <c r="C149" s="20"/>
      <c r="D149" s="20"/>
      <c r="E149" s="20"/>
      <c r="F149" s="20"/>
      <c r="G149" s="20"/>
      <c r="H149" s="20"/>
      <c r="I149" s="20"/>
      <c r="J149" s="20"/>
      <c r="K149" s="20"/>
      <c r="L149" s="20"/>
      <c r="M149" s="20"/>
      <c r="N149" s="20"/>
      <c r="O149" s="20"/>
      <c r="P149" s="20"/>
    </row>
    <row r="150" spans="1:16" ht="20.149999999999999" customHeight="1">
      <c r="A150" s="108"/>
      <c r="B150" s="407" t="s">
        <v>24</v>
      </c>
      <c r="C150" s="407"/>
      <c r="D150" s="407"/>
      <c r="E150" s="407"/>
      <c r="F150" s="407"/>
      <c r="G150" s="407"/>
      <c r="H150" s="407"/>
      <c r="I150" s="408"/>
      <c r="J150" s="3"/>
      <c r="K150" s="3"/>
      <c r="L150" s="3"/>
      <c r="M150" s="3"/>
      <c r="N150" s="3"/>
      <c r="O150" s="3"/>
      <c r="P150" s="3"/>
    </row>
    <row r="151" spans="1:16" ht="20.149999999999999" customHeight="1">
      <c r="A151" s="109"/>
      <c r="B151" s="360" t="s">
        <v>25</v>
      </c>
      <c r="C151" s="360"/>
      <c r="D151" s="360"/>
      <c r="E151" s="360"/>
      <c r="F151" s="360"/>
      <c r="G151" s="360"/>
      <c r="H151" s="360"/>
      <c r="I151" s="361"/>
      <c r="J151" s="3"/>
      <c r="K151" s="3"/>
      <c r="L151" s="3"/>
      <c r="M151" s="3"/>
      <c r="N151" s="3"/>
      <c r="O151" s="3"/>
      <c r="P151" s="3"/>
    </row>
    <row r="152" spans="1:16" ht="20.149999999999999" customHeight="1">
      <c r="A152" s="109"/>
      <c r="B152" s="360" t="s">
        <v>26</v>
      </c>
      <c r="C152" s="360"/>
      <c r="D152" s="360"/>
      <c r="E152" s="360"/>
      <c r="F152" s="360"/>
      <c r="G152" s="360"/>
      <c r="H152" s="360"/>
      <c r="I152" s="361"/>
      <c r="J152" s="3"/>
      <c r="K152" s="3"/>
      <c r="L152" s="3"/>
      <c r="M152" s="3"/>
      <c r="N152" s="3"/>
      <c r="O152" s="3"/>
      <c r="P152" s="3"/>
    </row>
    <row r="153" spans="1:16" ht="20.149999999999999" customHeight="1">
      <c r="A153" s="109"/>
      <c r="B153" s="360" t="s">
        <v>27</v>
      </c>
      <c r="C153" s="360"/>
      <c r="D153" s="360"/>
      <c r="E153" s="360"/>
      <c r="F153" s="360"/>
      <c r="G153" s="360"/>
      <c r="H153" s="360"/>
      <c r="I153" s="361"/>
      <c r="J153" s="3"/>
      <c r="K153" s="3"/>
      <c r="L153" s="3"/>
      <c r="M153" s="3"/>
      <c r="N153" s="3"/>
      <c r="O153" s="3"/>
      <c r="P153" s="3"/>
    </row>
    <row r="154" spans="1:16" ht="20.149999999999999" customHeight="1">
      <c r="A154" s="109"/>
      <c r="B154" s="360" t="s">
        <v>28</v>
      </c>
      <c r="C154" s="360"/>
      <c r="D154" s="360"/>
      <c r="E154" s="360"/>
      <c r="F154" s="360"/>
      <c r="G154" s="360"/>
      <c r="H154" s="360"/>
      <c r="I154" s="361"/>
      <c r="J154" s="3"/>
      <c r="K154" s="3"/>
      <c r="L154" s="3"/>
      <c r="M154" s="3"/>
      <c r="N154" s="3"/>
      <c r="O154" s="3"/>
      <c r="P154" s="3"/>
    </row>
    <row r="155" spans="1:16" ht="20.149999999999999" customHeight="1" thickBot="1">
      <c r="A155" s="110"/>
      <c r="B155" s="409" t="s">
        <v>23</v>
      </c>
      <c r="C155" s="411"/>
      <c r="D155" s="341"/>
      <c r="E155" s="342"/>
      <c r="F155" s="342"/>
      <c r="G155" s="342"/>
      <c r="H155" s="343"/>
      <c r="I155" s="23" t="s">
        <v>19</v>
      </c>
      <c r="J155" s="107" t="str">
        <f>IF(OR(AND(A155="",D155=""),AND(A155&lt;&gt;"", D155&lt;&gt;"")),"","チェックを入れた場合はその内容を記載してください")</f>
        <v/>
      </c>
      <c r="K155" s="3"/>
      <c r="L155" s="3"/>
      <c r="M155" s="3"/>
      <c r="N155" s="3"/>
      <c r="O155" s="3"/>
      <c r="P155" s="3"/>
    </row>
    <row r="156" spans="1:16" ht="12.65" customHeight="1">
      <c r="A156" s="19"/>
      <c r="B156" s="22"/>
      <c r="C156" s="22"/>
      <c r="D156" s="19"/>
      <c r="E156" s="19"/>
      <c r="F156" s="19"/>
      <c r="G156" s="19"/>
      <c r="H156" s="19"/>
      <c r="I156" s="19"/>
      <c r="J156" s="3"/>
      <c r="K156" s="3"/>
      <c r="L156" s="3"/>
      <c r="M156" s="3"/>
      <c r="N156" s="3"/>
      <c r="O156" s="3"/>
      <c r="P156" s="3"/>
    </row>
    <row r="157" spans="1:16" ht="30" customHeight="1">
      <c r="A157" s="346" t="s">
        <v>312</v>
      </c>
      <c r="B157" s="346"/>
      <c r="C157" s="346"/>
      <c r="D157" s="346"/>
      <c r="E157" s="346"/>
      <c r="F157" s="346"/>
      <c r="G157" s="346"/>
      <c r="H157" s="346"/>
      <c r="I157" s="346"/>
      <c r="J157" s="346"/>
      <c r="K157" s="346"/>
      <c r="L157" s="346"/>
      <c r="M157" s="346"/>
      <c r="N157" s="346"/>
      <c r="O157" s="346"/>
      <c r="P157" s="346"/>
    </row>
    <row r="158" spans="1:16" ht="30" customHeight="1" thickBot="1">
      <c r="A158" s="20" t="s">
        <v>366</v>
      </c>
      <c r="B158" s="20"/>
      <c r="C158" s="20"/>
      <c r="D158" s="20"/>
      <c r="E158" s="20"/>
      <c r="F158" s="20"/>
      <c r="G158" s="20"/>
      <c r="H158" s="20"/>
      <c r="I158" s="20"/>
      <c r="J158" s="20"/>
      <c r="K158" s="20"/>
      <c r="L158" s="20"/>
      <c r="M158" s="20"/>
      <c r="N158" s="20"/>
      <c r="O158" s="20"/>
      <c r="P158" s="20"/>
    </row>
    <row r="159" spans="1:16" ht="20.149999999999999" customHeight="1" thickBot="1">
      <c r="A159" s="347" t="s">
        <v>367</v>
      </c>
      <c r="B159" s="348"/>
      <c r="C159" s="348"/>
      <c r="D159" s="348"/>
      <c r="E159" s="458"/>
      <c r="F159" s="350"/>
      <c r="G159" s="3" t="s">
        <v>328</v>
      </c>
      <c r="H159" s="3" t="str">
        <f>IF(E159="","いない場合はゼロを入力してください","")</f>
        <v>いない場合はゼロを入力してください</v>
      </c>
      <c r="I159" s="3"/>
      <c r="J159" s="3"/>
      <c r="K159" s="3"/>
      <c r="L159" s="3"/>
      <c r="M159" s="3"/>
      <c r="N159" s="3"/>
      <c r="O159" s="3"/>
      <c r="P159" s="3"/>
    </row>
    <row r="160" spans="1:16" ht="21" customHeight="1">
      <c r="A160" s="3" t="s">
        <v>329</v>
      </c>
      <c r="B160" s="149"/>
      <c r="C160" s="149"/>
      <c r="D160" s="149"/>
      <c r="E160" s="149"/>
      <c r="F160" s="149"/>
      <c r="G160" s="3"/>
      <c r="H160" s="3"/>
      <c r="I160" s="3"/>
      <c r="J160" s="3"/>
      <c r="K160" s="3"/>
      <c r="L160" s="3"/>
      <c r="M160" s="3"/>
      <c r="N160" s="3"/>
      <c r="O160" s="3"/>
      <c r="P160" s="3"/>
    </row>
    <row r="161" spans="1:16" ht="21" customHeight="1">
      <c r="A161" s="170" t="s">
        <v>470</v>
      </c>
      <c r="B161" s="149"/>
      <c r="C161" s="149"/>
      <c r="D161" s="149"/>
      <c r="E161" s="149"/>
      <c r="F161" s="149"/>
      <c r="G161" s="3"/>
      <c r="H161" s="3"/>
      <c r="I161" s="3"/>
      <c r="J161" s="3"/>
      <c r="K161" s="3"/>
      <c r="L161" s="3"/>
      <c r="M161" s="3"/>
      <c r="N161" s="3"/>
      <c r="O161" s="3"/>
      <c r="P161" s="3"/>
    </row>
    <row r="162" spans="1:16" ht="9.65" customHeight="1">
      <c r="A162" s="6"/>
      <c r="B162" s="6"/>
      <c r="C162" s="6"/>
      <c r="D162" s="6"/>
      <c r="E162" s="19"/>
      <c r="F162" s="19"/>
      <c r="G162" s="3"/>
      <c r="H162" s="3"/>
      <c r="I162" s="3"/>
      <c r="J162" s="3"/>
      <c r="K162" s="3"/>
      <c r="L162" s="3"/>
      <c r="M162" s="3"/>
      <c r="N162" s="3"/>
      <c r="O162" s="3"/>
      <c r="P162" s="3"/>
    </row>
    <row r="163" spans="1:16" ht="30" customHeight="1" thickBot="1">
      <c r="A163" s="365" t="s">
        <v>368</v>
      </c>
      <c r="B163" s="365"/>
      <c r="C163" s="365"/>
      <c r="D163" s="365"/>
      <c r="E163" s="365"/>
      <c r="F163" s="365"/>
      <c r="G163" s="365"/>
      <c r="H163" s="365"/>
      <c r="I163" s="365"/>
      <c r="J163" s="365"/>
      <c r="K163" s="365"/>
      <c r="L163" s="365"/>
      <c r="M163" s="365"/>
      <c r="N163" s="365"/>
      <c r="O163" s="365"/>
      <c r="P163" s="365"/>
    </row>
    <row r="164" spans="1:16" ht="9" customHeight="1">
      <c r="A164" s="446" t="s">
        <v>369</v>
      </c>
      <c r="B164" s="447"/>
      <c r="C164" s="447"/>
      <c r="D164" s="447"/>
      <c r="E164" s="448"/>
      <c r="F164" s="425" t="s">
        <v>370</v>
      </c>
      <c r="G164" s="147"/>
      <c r="H164" s="427" t="s">
        <v>371</v>
      </c>
      <c r="I164" s="425" t="s">
        <v>369</v>
      </c>
      <c r="J164" s="447"/>
      <c r="K164" s="447"/>
      <c r="L164" s="447"/>
      <c r="M164" s="448"/>
      <c r="N164" s="425" t="s">
        <v>370</v>
      </c>
      <c r="O164" s="147"/>
      <c r="P164" s="428" t="s">
        <v>371</v>
      </c>
    </row>
    <row r="165" spans="1:16" ht="26.25" customHeight="1">
      <c r="A165" s="449"/>
      <c r="B165" s="450"/>
      <c r="C165" s="450"/>
      <c r="D165" s="450"/>
      <c r="E165" s="451"/>
      <c r="F165" s="426"/>
      <c r="G165" s="166" t="s">
        <v>372</v>
      </c>
      <c r="H165" s="426"/>
      <c r="I165" s="452"/>
      <c r="J165" s="450"/>
      <c r="K165" s="450"/>
      <c r="L165" s="450"/>
      <c r="M165" s="451"/>
      <c r="N165" s="426"/>
      <c r="O165" s="166" t="s">
        <v>372</v>
      </c>
      <c r="P165" s="429"/>
    </row>
    <row r="166" spans="1:16" s="2" customFormat="1" ht="20.149999999999999" customHeight="1">
      <c r="A166" s="354" t="s">
        <v>373</v>
      </c>
      <c r="B166" s="355"/>
      <c r="C166" s="355"/>
      <c r="D166" s="355"/>
      <c r="E166" s="355"/>
      <c r="F166" s="167"/>
      <c r="G166" s="119"/>
      <c r="H166" s="120"/>
      <c r="I166" s="432" t="s">
        <v>374</v>
      </c>
      <c r="J166" s="433"/>
      <c r="K166" s="433"/>
      <c r="L166" s="433"/>
      <c r="M166" s="434"/>
      <c r="N166" s="167"/>
      <c r="O166" s="119"/>
      <c r="P166" s="120"/>
    </row>
    <row r="167" spans="1:16" s="2" customFormat="1" ht="20.149999999999999" customHeight="1">
      <c r="A167" s="354" t="s">
        <v>375</v>
      </c>
      <c r="B167" s="355"/>
      <c r="C167" s="355"/>
      <c r="D167" s="355"/>
      <c r="E167" s="355"/>
      <c r="F167" s="168"/>
      <c r="G167" s="119"/>
      <c r="H167" s="120"/>
      <c r="I167" s="432" t="s">
        <v>376</v>
      </c>
      <c r="J167" s="433"/>
      <c r="K167" s="433"/>
      <c r="L167" s="433"/>
      <c r="M167" s="434"/>
      <c r="N167" s="168"/>
      <c r="O167" s="119"/>
      <c r="P167" s="120"/>
    </row>
    <row r="168" spans="1:16" s="2" customFormat="1" ht="20.149999999999999" customHeight="1">
      <c r="A168" s="354" t="s">
        <v>377</v>
      </c>
      <c r="B168" s="355"/>
      <c r="C168" s="355"/>
      <c r="D168" s="355"/>
      <c r="E168" s="355"/>
      <c r="F168" s="168"/>
      <c r="G168" s="119"/>
      <c r="H168" s="120"/>
      <c r="I168" s="432" t="s">
        <v>378</v>
      </c>
      <c r="J168" s="433"/>
      <c r="K168" s="433"/>
      <c r="L168" s="433"/>
      <c r="M168" s="434"/>
      <c r="N168" s="168"/>
      <c r="O168" s="119"/>
      <c r="P168" s="120"/>
    </row>
    <row r="169" spans="1:16" s="2" customFormat="1" ht="20.149999999999999" customHeight="1">
      <c r="A169" s="354" t="s">
        <v>379</v>
      </c>
      <c r="B169" s="355"/>
      <c r="C169" s="355"/>
      <c r="D169" s="355"/>
      <c r="E169" s="355"/>
      <c r="F169" s="168"/>
      <c r="G169" s="119"/>
      <c r="H169" s="120"/>
      <c r="I169" s="432" t="s">
        <v>380</v>
      </c>
      <c r="J169" s="433"/>
      <c r="K169" s="433"/>
      <c r="L169" s="433"/>
      <c r="M169" s="434"/>
      <c r="N169" s="168"/>
      <c r="O169" s="119"/>
      <c r="P169" s="120"/>
    </row>
    <row r="170" spans="1:16" s="2" customFormat="1" ht="20.149999999999999" customHeight="1">
      <c r="A170" s="354" t="s">
        <v>381</v>
      </c>
      <c r="B170" s="355"/>
      <c r="C170" s="355"/>
      <c r="D170" s="355"/>
      <c r="E170" s="355"/>
      <c r="F170" s="168"/>
      <c r="G170" s="119"/>
      <c r="H170" s="120"/>
      <c r="I170" s="432" t="s">
        <v>382</v>
      </c>
      <c r="J170" s="433"/>
      <c r="K170" s="433"/>
      <c r="L170" s="433"/>
      <c r="M170" s="434"/>
      <c r="N170" s="168"/>
      <c r="O170" s="119"/>
      <c r="P170" s="120"/>
    </row>
    <row r="171" spans="1:16" s="2" customFormat="1" ht="20.149999999999999" customHeight="1">
      <c r="A171" s="354" t="s">
        <v>383</v>
      </c>
      <c r="B171" s="355"/>
      <c r="C171" s="355"/>
      <c r="D171" s="355"/>
      <c r="E171" s="355"/>
      <c r="F171" s="168"/>
      <c r="G171" s="119"/>
      <c r="H171" s="120"/>
      <c r="I171" s="432" t="s">
        <v>384</v>
      </c>
      <c r="J171" s="433"/>
      <c r="K171" s="433"/>
      <c r="L171" s="433"/>
      <c r="M171" s="434"/>
      <c r="N171" s="168"/>
      <c r="O171" s="119"/>
      <c r="P171" s="120"/>
    </row>
    <row r="172" spans="1:16" s="2" customFormat="1" ht="20.149999999999999" customHeight="1">
      <c r="A172" s="354" t="s">
        <v>385</v>
      </c>
      <c r="B172" s="355"/>
      <c r="C172" s="355"/>
      <c r="D172" s="355"/>
      <c r="E172" s="355"/>
      <c r="F172" s="168"/>
      <c r="G172" s="119"/>
      <c r="H172" s="120"/>
      <c r="I172" s="432" t="s">
        <v>386</v>
      </c>
      <c r="J172" s="433"/>
      <c r="K172" s="433"/>
      <c r="L172" s="433"/>
      <c r="M172" s="434"/>
      <c r="N172" s="168"/>
      <c r="O172" s="119"/>
      <c r="P172" s="120"/>
    </row>
    <row r="173" spans="1:16" s="2" customFormat="1" ht="20.149999999999999" customHeight="1">
      <c r="A173" s="354" t="s">
        <v>387</v>
      </c>
      <c r="B173" s="355"/>
      <c r="C173" s="355"/>
      <c r="D173" s="355"/>
      <c r="E173" s="355"/>
      <c r="F173" s="168"/>
      <c r="G173" s="119"/>
      <c r="H173" s="120"/>
      <c r="I173" s="432" t="s">
        <v>388</v>
      </c>
      <c r="J173" s="433"/>
      <c r="K173" s="433"/>
      <c r="L173" s="433"/>
      <c r="M173" s="434"/>
      <c r="N173" s="168"/>
      <c r="O173" s="119"/>
      <c r="P173" s="120"/>
    </row>
    <row r="174" spans="1:16" s="2" customFormat="1" ht="20.149999999999999" customHeight="1">
      <c r="A174" s="356" t="s">
        <v>389</v>
      </c>
      <c r="B174" s="357"/>
      <c r="C174" s="357"/>
      <c r="D174" s="357"/>
      <c r="E174" s="357"/>
      <c r="F174" s="168"/>
      <c r="G174" s="119"/>
      <c r="H174" s="120"/>
      <c r="I174" s="432" t="s">
        <v>390</v>
      </c>
      <c r="J174" s="433"/>
      <c r="K174" s="433"/>
      <c r="L174" s="433"/>
      <c r="M174" s="434"/>
      <c r="N174" s="168"/>
      <c r="O174" s="119"/>
      <c r="P174" s="120"/>
    </row>
    <row r="175" spans="1:16" s="2" customFormat="1" ht="20.149999999999999" customHeight="1">
      <c r="A175" s="356" t="s">
        <v>391</v>
      </c>
      <c r="B175" s="357"/>
      <c r="C175" s="357"/>
      <c r="D175" s="357"/>
      <c r="E175" s="357"/>
      <c r="F175" s="168"/>
      <c r="G175" s="119"/>
      <c r="H175" s="121"/>
      <c r="I175" s="432" t="s">
        <v>392</v>
      </c>
      <c r="J175" s="433"/>
      <c r="K175" s="433"/>
      <c r="L175" s="433"/>
      <c r="M175" s="434"/>
      <c r="N175" s="168"/>
      <c r="O175" s="119"/>
      <c r="P175" s="121"/>
    </row>
    <row r="176" spans="1:16" s="2" customFormat="1" ht="20.149999999999999" customHeight="1" thickBot="1">
      <c r="A176" s="430" t="s">
        <v>393</v>
      </c>
      <c r="B176" s="431"/>
      <c r="C176" s="431"/>
      <c r="D176" s="431"/>
      <c r="E176" s="431"/>
      <c r="F176" s="169"/>
      <c r="G176" s="112"/>
      <c r="H176" s="122"/>
      <c r="I176" s="442"/>
      <c r="J176" s="443"/>
      <c r="K176" s="443"/>
      <c r="L176" s="443"/>
      <c r="M176" s="444"/>
      <c r="N176" s="148"/>
      <c r="O176" s="70"/>
      <c r="P176" s="12"/>
    </row>
    <row r="177" spans="1:16" s="2" customFormat="1" ht="20.149999999999999" customHeight="1">
      <c r="A177" s="21" t="s">
        <v>394</v>
      </c>
      <c r="B177" s="21"/>
      <c r="C177" s="21"/>
      <c r="D177" s="21"/>
      <c r="E177" s="21"/>
      <c r="F177" s="21"/>
      <c r="G177" s="21"/>
      <c r="H177" s="81"/>
      <c r="I177" s="8"/>
      <c r="J177" s="8"/>
      <c r="K177" s="8"/>
      <c r="L177" s="8"/>
      <c r="M177" s="8"/>
      <c r="N177" s="8"/>
      <c r="O177" s="8"/>
      <c r="P177" s="9"/>
    </row>
    <row r="178" spans="1:16" s="2" customFormat="1" ht="20.149999999999999" customHeight="1">
      <c r="A178" s="3" t="s">
        <v>395</v>
      </c>
      <c r="B178" s="21"/>
      <c r="C178" s="21"/>
      <c r="D178" s="21"/>
      <c r="E178" s="21"/>
      <c r="F178" s="21"/>
      <c r="G178" s="21"/>
      <c r="H178" s="81"/>
      <c r="I178" s="8"/>
      <c r="J178" s="8"/>
      <c r="K178" s="8"/>
      <c r="L178" s="8"/>
      <c r="M178" s="8"/>
      <c r="N178" s="8"/>
      <c r="O178" s="8"/>
      <c r="P178" s="9"/>
    </row>
    <row r="179" spans="1:16" ht="9" customHeight="1"/>
    <row r="180" spans="1:16" ht="24" customHeight="1">
      <c r="A180" s="365" t="s">
        <v>256</v>
      </c>
      <c r="B180" s="365"/>
      <c r="C180" s="365"/>
      <c r="D180" s="365"/>
      <c r="E180" s="365"/>
      <c r="F180" s="365"/>
      <c r="G180" s="365"/>
      <c r="H180" s="365"/>
      <c r="I180" s="365"/>
      <c r="J180" s="365"/>
      <c r="K180" s="365"/>
      <c r="L180" s="365"/>
      <c r="M180" s="365"/>
      <c r="N180" s="365"/>
      <c r="O180" s="365"/>
      <c r="P180" s="365"/>
    </row>
    <row r="181" spans="1:16" s="172" customFormat="1" ht="22.5" customHeight="1" thickBot="1">
      <c r="A181" s="682" t="s">
        <v>257</v>
      </c>
      <c r="B181" s="682"/>
      <c r="C181" s="682"/>
      <c r="D181" s="682"/>
      <c r="E181" s="682"/>
      <c r="F181" s="682"/>
      <c r="G181" s="682"/>
      <c r="H181" s="682"/>
      <c r="I181" s="682"/>
      <c r="J181" s="682"/>
      <c r="K181" s="220"/>
      <c r="L181" s="317"/>
      <c r="M181" s="317"/>
      <c r="N181" s="317"/>
      <c r="O181" s="317"/>
      <c r="P181" s="317"/>
    </row>
    <row r="182" spans="1:16" ht="20.149999999999999" customHeight="1">
      <c r="A182" s="108"/>
      <c r="B182" s="454" t="s">
        <v>125</v>
      </c>
      <c r="C182" s="455"/>
      <c r="D182" s="455"/>
      <c r="E182" s="455"/>
      <c r="F182" s="455"/>
      <c r="G182" s="455"/>
      <c r="H182" s="455"/>
      <c r="I182" s="456"/>
      <c r="J182" s="132"/>
    </row>
    <row r="183" spans="1:16" ht="20.149999999999999" customHeight="1">
      <c r="A183" s="109"/>
      <c r="B183" s="362" t="s">
        <v>126</v>
      </c>
      <c r="C183" s="363"/>
      <c r="D183" s="363"/>
      <c r="E183" s="363"/>
      <c r="F183" s="363"/>
      <c r="G183" s="363"/>
      <c r="H183" s="363"/>
      <c r="I183" s="364"/>
    </row>
    <row r="184" spans="1:16" ht="20.149999999999999" customHeight="1">
      <c r="A184" s="123"/>
      <c r="B184" s="362" t="s">
        <v>127</v>
      </c>
      <c r="C184" s="363"/>
      <c r="D184" s="363"/>
      <c r="E184" s="363"/>
      <c r="F184" s="363"/>
      <c r="G184" s="363"/>
      <c r="H184" s="363"/>
      <c r="I184" s="364"/>
    </row>
    <row r="185" spans="1:16" ht="20.149999999999999" customHeight="1">
      <c r="A185" s="109"/>
      <c r="B185" s="362" t="s">
        <v>128</v>
      </c>
      <c r="C185" s="363"/>
      <c r="D185" s="363"/>
      <c r="E185" s="363"/>
      <c r="F185" s="363"/>
      <c r="G185" s="363"/>
      <c r="H185" s="363"/>
      <c r="I185" s="364"/>
    </row>
    <row r="186" spans="1:16" ht="20.149999999999999" customHeight="1">
      <c r="A186" s="124"/>
      <c r="B186" s="457" t="s">
        <v>134</v>
      </c>
      <c r="C186" s="400"/>
      <c r="D186" s="400"/>
      <c r="E186" s="400"/>
      <c r="F186" s="400"/>
      <c r="G186" s="400"/>
      <c r="H186" s="400"/>
      <c r="I186" s="401"/>
    </row>
    <row r="187" spans="1:16" ht="20.149999999999999" customHeight="1" thickBot="1">
      <c r="A187" s="110"/>
      <c r="B187" s="77" t="s">
        <v>23</v>
      </c>
      <c r="C187" s="78"/>
      <c r="D187" s="424"/>
      <c r="E187" s="424"/>
      <c r="F187" s="424"/>
      <c r="G187" s="424"/>
      <c r="H187" s="424"/>
      <c r="I187" s="23" t="s">
        <v>19</v>
      </c>
    </row>
    <row r="188" spans="1:16" ht="9" customHeight="1"/>
    <row r="189" spans="1:16" ht="30" customHeight="1">
      <c r="A189" s="20" t="s">
        <v>132</v>
      </c>
      <c r="B189" s="20"/>
      <c r="C189" s="20"/>
      <c r="D189" s="20"/>
      <c r="E189" s="20"/>
      <c r="F189" s="20"/>
      <c r="G189" s="20"/>
      <c r="H189" s="20"/>
      <c r="I189" s="20"/>
      <c r="J189" s="20"/>
      <c r="K189" s="20"/>
      <c r="L189" s="20"/>
      <c r="M189" s="20"/>
      <c r="N189" s="20"/>
      <c r="O189" s="20"/>
      <c r="P189" s="20"/>
    </row>
    <row r="190" spans="1:16" ht="22.5" customHeight="1" thickBot="1">
      <c r="A190" s="682" t="s">
        <v>257</v>
      </c>
      <c r="B190" s="682"/>
      <c r="C190" s="682"/>
      <c r="D190" s="682"/>
      <c r="E190" s="682"/>
      <c r="F190" s="682"/>
      <c r="G190" s="682"/>
      <c r="H190" s="682"/>
      <c r="I190" s="682"/>
      <c r="J190" s="682"/>
      <c r="K190" s="220" t="str">
        <f>IF(COUNTIF(A191:A193,"✓")=1,"","（どれか一つにチェック）")</f>
        <v>（どれか一つにチェック）</v>
      </c>
      <c r="L190" s="317"/>
      <c r="M190" s="317"/>
      <c r="N190" s="317"/>
      <c r="O190" s="317"/>
      <c r="P190" s="317"/>
    </row>
    <row r="191" spans="1:16" ht="20.149999999999999" customHeight="1">
      <c r="A191" s="108"/>
      <c r="B191" s="467" t="s">
        <v>123</v>
      </c>
      <c r="C191" s="468"/>
      <c r="D191" s="468"/>
      <c r="E191" s="468"/>
      <c r="F191" s="468"/>
      <c r="G191" s="469"/>
      <c r="H191" s="39"/>
      <c r="I191" s="170" t="str">
        <f>IF(A191="✓","⇒（５）を回答してください","")</f>
        <v/>
      </c>
      <c r="J191" s="3"/>
      <c r="K191" s="3"/>
      <c r="L191" s="3"/>
      <c r="M191" s="3"/>
      <c r="N191" s="3"/>
      <c r="O191" s="3"/>
      <c r="P191" s="3"/>
    </row>
    <row r="192" spans="1:16" ht="20.149999999999999" customHeight="1">
      <c r="A192" s="118"/>
      <c r="B192" s="360" t="s">
        <v>122</v>
      </c>
      <c r="C192" s="360"/>
      <c r="D192" s="360"/>
      <c r="E192" s="360"/>
      <c r="F192" s="360"/>
      <c r="G192" s="361"/>
      <c r="I192" s="679" t="str">
        <f>IF(A192="✓","⇒（７）以下を回答してください","")</f>
        <v/>
      </c>
      <c r="J192" s="679"/>
      <c r="K192" s="679"/>
      <c r="L192" s="679"/>
      <c r="M192" s="679"/>
      <c r="N192" s="679"/>
      <c r="O192" s="679"/>
      <c r="P192" s="679"/>
    </row>
    <row r="193" spans="1:16" ht="20.149999999999999" customHeight="1" thickBot="1">
      <c r="A193" s="110"/>
      <c r="B193" s="411" t="s">
        <v>101</v>
      </c>
      <c r="C193" s="412"/>
      <c r="D193" s="412"/>
      <c r="E193" s="412"/>
      <c r="F193" s="412"/>
      <c r="G193" s="413"/>
      <c r="H193" s="39"/>
      <c r="I193" s="170" t="str">
        <f>IF(A193="✓","⇒（６）以下を回答してください","")</f>
        <v/>
      </c>
      <c r="J193" s="3"/>
      <c r="K193" s="3"/>
      <c r="L193" s="3"/>
      <c r="M193" s="3"/>
      <c r="N193" s="3"/>
      <c r="O193" s="3"/>
      <c r="P193" s="3"/>
    </row>
    <row r="194" spans="1:16" ht="9.65" customHeight="1">
      <c r="A194" s="66"/>
      <c r="B194" s="7"/>
      <c r="C194" s="7"/>
      <c r="D194" s="7"/>
      <c r="E194" s="7"/>
      <c r="F194" s="3"/>
      <c r="G194" s="3"/>
      <c r="H194" s="3"/>
      <c r="I194" s="3"/>
      <c r="J194" s="3"/>
      <c r="K194" s="3"/>
      <c r="L194" s="3"/>
      <c r="M194" s="3"/>
      <c r="N194" s="3"/>
      <c r="O194" s="3"/>
      <c r="P194" s="3"/>
    </row>
    <row r="195" spans="1:16" s="67" customFormat="1" ht="30" customHeight="1">
      <c r="A195" s="67" t="s">
        <v>309</v>
      </c>
    </row>
    <row r="196" spans="1:16" ht="18.5" thickBot="1">
      <c r="A196" s="7" t="s">
        <v>314</v>
      </c>
      <c r="B196" s="7"/>
      <c r="C196" s="7"/>
      <c r="D196" s="7"/>
      <c r="E196" s="7"/>
      <c r="F196" s="3"/>
      <c r="G196" s="3"/>
      <c r="H196" s="3"/>
      <c r="I196" s="3"/>
      <c r="J196" s="3"/>
      <c r="K196" s="3"/>
      <c r="L196" s="3"/>
      <c r="M196" s="3"/>
      <c r="N196" s="3"/>
      <c r="O196" s="3"/>
      <c r="P196" s="3"/>
    </row>
    <row r="197" spans="1:16" ht="43" customHeight="1" thickBot="1">
      <c r="A197" s="414"/>
      <c r="B197" s="415"/>
      <c r="C197" s="415"/>
      <c r="D197" s="415"/>
      <c r="E197" s="415"/>
      <c r="F197" s="415"/>
      <c r="G197" s="415"/>
      <c r="H197" s="415"/>
      <c r="I197" s="415"/>
      <c r="J197" s="415"/>
      <c r="K197" s="415"/>
      <c r="L197" s="415"/>
      <c r="M197" s="415"/>
      <c r="N197" s="415"/>
      <c r="O197" s="415"/>
      <c r="P197" s="416"/>
    </row>
    <row r="198" spans="1:16" ht="9.65" customHeight="1">
      <c r="A198" s="37"/>
      <c r="B198" s="7"/>
      <c r="C198" s="7"/>
      <c r="D198" s="7"/>
      <c r="E198" s="7"/>
      <c r="F198" s="3"/>
      <c r="G198" s="3"/>
      <c r="H198" s="3"/>
      <c r="I198" s="3"/>
      <c r="J198" s="3"/>
      <c r="K198" s="3"/>
      <c r="L198" s="3"/>
      <c r="M198" s="3"/>
      <c r="N198" s="3"/>
      <c r="O198" s="3"/>
      <c r="P198" s="3"/>
    </row>
    <row r="199" spans="1:16" ht="30" customHeight="1" thickBot="1">
      <c r="A199" s="20" t="s">
        <v>566</v>
      </c>
      <c r="B199" s="20"/>
      <c r="C199" s="20"/>
      <c r="D199" s="20"/>
      <c r="E199" s="20"/>
      <c r="F199" s="20"/>
      <c r="G199" s="20"/>
      <c r="H199" s="20"/>
      <c r="I199" s="20"/>
      <c r="J199" s="20"/>
      <c r="K199" s="20"/>
      <c r="L199" s="20"/>
      <c r="M199" s="20"/>
      <c r="N199" s="20"/>
      <c r="O199" s="20"/>
      <c r="P199" s="20"/>
    </row>
    <row r="200" spans="1:16" ht="20.149999999999999" customHeight="1">
      <c r="A200" s="108"/>
      <c r="B200" s="407" t="s">
        <v>24</v>
      </c>
      <c r="C200" s="407"/>
      <c r="D200" s="407"/>
      <c r="E200" s="407"/>
      <c r="F200" s="407"/>
      <c r="G200" s="407"/>
      <c r="H200" s="407"/>
      <c r="I200" s="408"/>
      <c r="J200" s="3"/>
      <c r="K200" s="3"/>
      <c r="L200" s="3"/>
      <c r="M200" s="3"/>
      <c r="N200" s="3"/>
      <c r="O200" s="3"/>
      <c r="P200" s="3"/>
    </row>
    <row r="201" spans="1:16" ht="20.149999999999999" customHeight="1">
      <c r="A201" s="109"/>
      <c r="B201" s="360" t="s">
        <v>25</v>
      </c>
      <c r="C201" s="360"/>
      <c r="D201" s="360"/>
      <c r="E201" s="360"/>
      <c r="F201" s="360"/>
      <c r="G201" s="360"/>
      <c r="H201" s="360"/>
      <c r="I201" s="361"/>
      <c r="J201" s="3"/>
      <c r="K201" s="3"/>
      <c r="L201" s="3"/>
      <c r="M201" s="3"/>
      <c r="N201" s="3"/>
      <c r="O201" s="3"/>
      <c r="P201" s="3"/>
    </row>
    <row r="202" spans="1:16" ht="20.149999999999999" customHeight="1">
      <c r="A202" s="109"/>
      <c r="B202" s="360" t="s">
        <v>26</v>
      </c>
      <c r="C202" s="360"/>
      <c r="D202" s="360"/>
      <c r="E202" s="360"/>
      <c r="F202" s="360"/>
      <c r="G202" s="360"/>
      <c r="H202" s="360"/>
      <c r="I202" s="361"/>
      <c r="J202" s="3"/>
      <c r="K202" s="3"/>
      <c r="L202" s="3"/>
      <c r="M202" s="3"/>
      <c r="N202" s="3"/>
      <c r="O202" s="3"/>
      <c r="P202" s="3"/>
    </row>
    <row r="203" spans="1:16" ht="20.149999999999999" customHeight="1">
      <c r="A203" s="109"/>
      <c r="B203" s="360" t="s">
        <v>27</v>
      </c>
      <c r="C203" s="360"/>
      <c r="D203" s="360"/>
      <c r="E203" s="360"/>
      <c r="F203" s="360"/>
      <c r="G203" s="360"/>
      <c r="H203" s="360"/>
      <c r="I203" s="361"/>
      <c r="J203" s="3"/>
      <c r="K203" s="3"/>
      <c r="L203" s="3"/>
      <c r="M203" s="3"/>
      <c r="N203" s="3"/>
      <c r="O203" s="3"/>
      <c r="P203" s="3"/>
    </row>
    <row r="204" spans="1:16" ht="20.149999999999999" customHeight="1">
      <c r="A204" s="109"/>
      <c r="B204" s="457" t="s">
        <v>133</v>
      </c>
      <c r="C204" s="400"/>
      <c r="D204" s="400"/>
      <c r="E204" s="400"/>
      <c r="F204" s="400"/>
      <c r="G204" s="400"/>
      <c r="H204" s="400"/>
      <c r="I204" s="401"/>
      <c r="J204" s="3"/>
      <c r="K204" s="3"/>
      <c r="L204" s="3"/>
      <c r="M204" s="3"/>
      <c r="N204" s="3"/>
      <c r="O204" s="3"/>
      <c r="P204" s="3"/>
    </row>
    <row r="205" spans="1:16" ht="20.149999999999999" customHeight="1">
      <c r="A205" s="109"/>
      <c r="B205" s="360" t="s">
        <v>28</v>
      </c>
      <c r="C205" s="360"/>
      <c r="D205" s="360"/>
      <c r="E205" s="360"/>
      <c r="F205" s="360"/>
      <c r="G205" s="360"/>
      <c r="H205" s="360"/>
      <c r="I205" s="361"/>
      <c r="J205" s="3"/>
      <c r="K205" s="3"/>
      <c r="L205" s="3"/>
      <c r="M205" s="3"/>
      <c r="N205" s="3"/>
      <c r="O205" s="3"/>
      <c r="P205" s="3"/>
    </row>
    <row r="206" spans="1:16" ht="20.149999999999999" customHeight="1" thickBot="1">
      <c r="A206" s="110"/>
      <c r="B206" s="16" t="s">
        <v>23</v>
      </c>
      <c r="C206" s="17"/>
      <c r="D206" s="341"/>
      <c r="E206" s="342"/>
      <c r="F206" s="342"/>
      <c r="G206" s="342"/>
      <c r="H206" s="343"/>
      <c r="I206" s="13" t="s">
        <v>19</v>
      </c>
      <c r="J206" s="3"/>
      <c r="K206" s="3"/>
      <c r="L206" s="3"/>
      <c r="M206" s="3"/>
      <c r="N206" s="3"/>
      <c r="O206" s="3"/>
      <c r="P206" s="3"/>
    </row>
    <row r="207" spans="1:16" ht="9.65" customHeight="1">
      <c r="A207" s="68"/>
      <c r="B207" s="7"/>
      <c r="C207" s="7"/>
      <c r="D207" s="7"/>
      <c r="E207" s="7"/>
      <c r="F207" s="3"/>
      <c r="G207" s="3"/>
      <c r="H207" s="3"/>
      <c r="I207" s="3"/>
      <c r="J207" s="3"/>
      <c r="K207" s="3"/>
      <c r="L207" s="3"/>
      <c r="M207" s="3"/>
      <c r="N207" s="3"/>
      <c r="O207" s="3"/>
      <c r="P207" s="3"/>
    </row>
    <row r="208" spans="1:16" ht="30" customHeight="1" thickBot="1">
      <c r="A208" s="365" t="s">
        <v>184</v>
      </c>
      <c r="B208" s="365"/>
      <c r="C208" s="365"/>
      <c r="D208" s="365"/>
      <c r="E208" s="365"/>
      <c r="F208" s="365"/>
      <c r="G208" s="365"/>
      <c r="H208" s="365"/>
      <c r="I208" s="365"/>
      <c r="J208" s="365"/>
      <c r="K208" s="365"/>
      <c r="L208" s="365"/>
      <c r="M208" s="365"/>
      <c r="N208" s="365"/>
      <c r="O208" s="365"/>
      <c r="P208" s="365"/>
    </row>
    <row r="209" spans="1:16" ht="20.149999999999999" customHeight="1">
      <c r="A209" s="108"/>
      <c r="B209" s="407" t="s">
        <v>185</v>
      </c>
      <c r="C209" s="407"/>
      <c r="D209" s="407"/>
      <c r="E209" s="408"/>
      <c r="F209" s="105" t="str">
        <f>IF(COUNTIF(A209:A210,"✓")=1,"","どちらか一つにチェック")</f>
        <v>どちらか一つにチェック</v>
      </c>
      <c r="G209" s="22"/>
      <c r="H209" s="22"/>
      <c r="I209" s="22"/>
      <c r="J209" s="1"/>
    </row>
    <row r="210" spans="1:16" ht="20.149999999999999" customHeight="1" thickBot="1">
      <c r="A210" s="110"/>
      <c r="B210" s="409" t="s">
        <v>186</v>
      </c>
      <c r="C210" s="409"/>
      <c r="D210" s="409"/>
      <c r="E210" s="410"/>
      <c r="F210" s="22"/>
      <c r="G210" s="22"/>
      <c r="H210" s="22"/>
      <c r="I210" s="22"/>
      <c r="J210" s="1"/>
    </row>
    <row r="211" spans="1:16" ht="9.65" customHeight="1">
      <c r="A211" s="68"/>
      <c r="B211" s="7"/>
      <c r="C211" s="7"/>
      <c r="D211" s="7"/>
      <c r="E211" s="7"/>
      <c r="F211" s="3"/>
      <c r="G211" s="3"/>
      <c r="H211" s="3"/>
      <c r="I211" s="3"/>
      <c r="J211" s="3"/>
      <c r="K211" s="3"/>
      <c r="L211" s="3"/>
      <c r="M211" s="3"/>
      <c r="N211" s="3"/>
      <c r="O211" s="3"/>
      <c r="P211" s="3"/>
    </row>
    <row r="212" spans="1:16" ht="30" customHeight="1" thickBot="1">
      <c r="A212" s="365" t="s">
        <v>187</v>
      </c>
      <c r="B212" s="365"/>
      <c r="C212" s="365"/>
      <c r="D212" s="365"/>
      <c r="E212" s="365"/>
      <c r="F212" s="365"/>
      <c r="G212" s="365"/>
      <c r="H212" s="365"/>
      <c r="I212" s="365"/>
      <c r="J212" s="365"/>
      <c r="K212" s="365"/>
      <c r="L212" s="365"/>
      <c r="M212" s="365"/>
      <c r="N212" s="365"/>
      <c r="O212" s="365"/>
      <c r="P212" s="365"/>
    </row>
    <row r="213" spans="1:16" ht="20.149999999999999" customHeight="1">
      <c r="A213" s="108"/>
      <c r="B213" s="79" t="s">
        <v>135</v>
      </c>
      <c r="C213" s="105" t="str">
        <f>IF(COUNTIF(A213:A214,"✓")=1,"","どちらか一つにチェック")</f>
        <v>どちらか一つにチェック</v>
      </c>
      <c r="D213" s="22"/>
      <c r="E213" s="22"/>
      <c r="F213" s="22"/>
      <c r="G213" s="22"/>
      <c r="H213" s="22"/>
      <c r="I213" s="22"/>
      <c r="J213" s="1"/>
    </row>
    <row r="214" spans="1:16" ht="20.149999999999999" customHeight="1" thickBot="1">
      <c r="A214" s="110"/>
      <c r="B214" s="80" t="s">
        <v>136</v>
      </c>
      <c r="C214" s="22"/>
      <c r="D214" s="22"/>
      <c r="E214" s="22"/>
      <c r="F214" s="22"/>
      <c r="G214" s="22"/>
      <c r="H214" s="22"/>
      <c r="I214" s="22"/>
      <c r="J214" s="1"/>
    </row>
    <row r="215" spans="1:16" ht="12.65" customHeight="1">
      <c r="A215" s="131"/>
      <c r="B215" s="22"/>
      <c r="C215" s="22"/>
      <c r="D215" s="131"/>
      <c r="E215" s="131"/>
      <c r="F215" s="131"/>
      <c r="G215" s="131"/>
      <c r="H215" s="131"/>
      <c r="I215" s="131"/>
      <c r="J215" s="6"/>
      <c r="K215" s="6"/>
      <c r="L215" s="3"/>
      <c r="M215" s="3"/>
      <c r="N215" s="3"/>
      <c r="O215" s="3"/>
      <c r="P215" s="3"/>
    </row>
    <row r="216" spans="1:16" ht="30" customHeight="1">
      <c r="A216" s="346" t="s">
        <v>315</v>
      </c>
      <c r="B216" s="346"/>
      <c r="C216" s="346"/>
      <c r="D216" s="346"/>
      <c r="E216" s="346"/>
      <c r="F216" s="346"/>
      <c r="G216" s="346"/>
      <c r="H216" s="346"/>
      <c r="I216" s="346"/>
      <c r="J216" s="346"/>
      <c r="K216" s="346"/>
      <c r="L216" s="346"/>
      <c r="M216" s="346"/>
      <c r="N216" s="346"/>
      <c r="O216" s="346"/>
      <c r="P216" s="346"/>
    </row>
    <row r="217" spans="1:16" s="172" customFormat="1" ht="30" customHeight="1" thickBot="1">
      <c r="A217" s="301" t="s">
        <v>567</v>
      </c>
      <c r="B217" s="301"/>
      <c r="C217" s="301"/>
      <c r="D217" s="301"/>
      <c r="E217" s="301"/>
      <c r="F217" s="301"/>
      <c r="G217" s="301"/>
      <c r="H217" s="301"/>
      <c r="I217" s="301"/>
      <c r="J217" s="301"/>
      <c r="K217" s="301"/>
      <c r="L217" s="301"/>
      <c r="M217" s="301"/>
      <c r="N217" s="301"/>
      <c r="O217" s="301"/>
      <c r="P217" s="301"/>
    </row>
    <row r="218" spans="1:16" ht="20.149999999999999" customHeight="1" thickBot="1">
      <c r="A218" s="347" t="s">
        <v>258</v>
      </c>
      <c r="B218" s="348"/>
      <c r="C218" s="348"/>
      <c r="D218" s="348"/>
      <c r="E218" s="349"/>
      <c r="F218" s="350"/>
      <c r="G218" s="158" t="s">
        <v>319</v>
      </c>
      <c r="H218" s="134" t="str">
        <f>IF(E218="","いない場合はゼロを入力してください","")</f>
        <v>いない場合はゼロを入力してください</v>
      </c>
      <c r="I218" s="3"/>
      <c r="J218" s="3"/>
      <c r="K218" s="3"/>
      <c r="L218" s="3"/>
      <c r="M218" s="3"/>
      <c r="N218" s="3"/>
      <c r="O218" s="3"/>
      <c r="P218" s="3"/>
    </row>
    <row r="219" spans="1:16" ht="9.65" customHeight="1">
      <c r="A219" s="131"/>
      <c r="B219" s="131"/>
      <c r="C219" s="131"/>
      <c r="D219" s="131"/>
      <c r="E219" s="131"/>
      <c r="F219" s="131"/>
      <c r="G219" s="3"/>
      <c r="H219" s="3"/>
      <c r="I219" s="3"/>
      <c r="J219" s="3"/>
      <c r="K219" s="3"/>
      <c r="L219" s="3"/>
      <c r="M219" s="3"/>
      <c r="N219" s="3"/>
      <c r="O219" s="3"/>
      <c r="P219" s="3"/>
    </row>
    <row r="220" spans="1:16" ht="30" customHeight="1" thickBot="1">
      <c r="A220" s="135" t="s">
        <v>259</v>
      </c>
      <c r="B220" s="135"/>
      <c r="C220" s="135"/>
      <c r="D220" s="135"/>
      <c r="E220" s="135"/>
      <c r="F220" s="135"/>
      <c r="G220" s="135"/>
      <c r="H220" s="135"/>
      <c r="I220" s="129"/>
      <c r="J220" s="129"/>
      <c r="K220" s="129"/>
      <c r="L220" s="129"/>
      <c r="M220" s="129"/>
      <c r="N220" s="129"/>
      <c r="O220" s="129"/>
      <c r="P220" s="129"/>
    </row>
    <row r="221" spans="1:16" ht="19.5" customHeight="1">
      <c r="A221" s="417"/>
      <c r="B221" s="418"/>
      <c r="C221" s="419"/>
      <c r="D221" s="130" t="s">
        <v>143</v>
      </c>
      <c r="E221" s="404"/>
      <c r="F221" s="405"/>
      <c r="G221" s="406"/>
      <c r="H221" s="130" t="s">
        <v>143</v>
      </c>
      <c r="I221" s="404"/>
      <c r="J221" s="405"/>
      <c r="K221" s="406"/>
      <c r="L221" s="130" t="s">
        <v>143</v>
      </c>
      <c r="M221" s="136"/>
      <c r="N221" s="129"/>
      <c r="O221" s="129"/>
      <c r="P221" s="129"/>
    </row>
    <row r="222" spans="1:16" s="2" customFormat="1" ht="19" customHeight="1">
      <c r="A222" s="371" t="s">
        <v>260</v>
      </c>
      <c r="B222" s="372"/>
      <c r="C222" s="372"/>
      <c r="D222" s="111"/>
      <c r="E222" s="373" t="s">
        <v>261</v>
      </c>
      <c r="F222" s="374"/>
      <c r="G222" s="374"/>
      <c r="H222" s="114"/>
      <c r="I222" s="127" t="s">
        <v>262</v>
      </c>
      <c r="J222" s="127"/>
      <c r="K222" s="128"/>
      <c r="L222" s="137"/>
    </row>
    <row r="223" spans="1:16" s="2" customFormat="1" ht="19" customHeight="1">
      <c r="A223" s="375" t="s">
        <v>263</v>
      </c>
      <c r="B223" s="374"/>
      <c r="C223" s="374"/>
      <c r="D223" s="111"/>
      <c r="E223" s="376" t="s">
        <v>264</v>
      </c>
      <c r="F223" s="377"/>
      <c r="G223" s="377"/>
      <c r="H223" s="114"/>
      <c r="I223" s="368" t="s">
        <v>265</v>
      </c>
      <c r="J223" s="368"/>
      <c r="K223" s="373"/>
      <c r="L223" s="115"/>
      <c r="O223" s="138"/>
      <c r="P223" s="138"/>
    </row>
    <row r="224" spans="1:16" s="2" customFormat="1" ht="19" customHeight="1">
      <c r="A224" s="375" t="s">
        <v>266</v>
      </c>
      <c r="B224" s="374"/>
      <c r="C224" s="374"/>
      <c r="D224" s="111"/>
      <c r="E224" s="367" t="s">
        <v>267</v>
      </c>
      <c r="F224" s="368"/>
      <c r="G224" s="373"/>
      <c r="H224" s="114"/>
      <c r="I224" s="368" t="s">
        <v>268</v>
      </c>
      <c r="J224" s="368"/>
      <c r="K224" s="373"/>
      <c r="L224" s="115"/>
      <c r="M224" s="138"/>
    </row>
    <row r="225" spans="1:16" s="2" customFormat="1" ht="19" customHeight="1" thickBot="1">
      <c r="A225" s="375" t="s">
        <v>269</v>
      </c>
      <c r="B225" s="374"/>
      <c r="C225" s="374"/>
      <c r="D225" s="111"/>
      <c r="E225" s="367" t="s">
        <v>270</v>
      </c>
      <c r="F225" s="368"/>
      <c r="G225" s="373"/>
      <c r="H225" s="114"/>
      <c r="I225" s="378" t="s">
        <v>271</v>
      </c>
      <c r="J225" s="378"/>
      <c r="K225" s="379"/>
      <c r="L225" s="139"/>
    </row>
    <row r="226" spans="1:16" s="2" customFormat="1" ht="19" customHeight="1" thickBot="1">
      <c r="A226" s="380" t="s">
        <v>272</v>
      </c>
      <c r="B226" s="381"/>
      <c r="C226" s="381"/>
      <c r="D226" s="140"/>
      <c r="E226" s="382" t="s">
        <v>273</v>
      </c>
      <c r="F226" s="378"/>
      <c r="G226" s="376"/>
      <c r="H226" s="139"/>
      <c r="I226" s="358"/>
      <c r="J226" s="359"/>
      <c r="K226" s="359"/>
      <c r="L226" s="141"/>
      <c r="M226" s="138"/>
    </row>
    <row r="227" spans="1:16" ht="12.65" customHeight="1">
      <c r="A227" s="131"/>
      <c r="B227" s="22"/>
      <c r="C227" s="22"/>
      <c r="D227" s="142"/>
      <c r="E227" s="131"/>
      <c r="F227" s="131"/>
      <c r="G227" s="142"/>
      <c r="H227" s="142"/>
      <c r="I227" s="131"/>
      <c r="J227" s="6"/>
      <c r="K227" s="6"/>
      <c r="L227" s="3"/>
      <c r="M227" s="3"/>
      <c r="N227" s="3"/>
      <c r="O227" s="3"/>
      <c r="P227" s="3"/>
    </row>
    <row r="228" spans="1:16" ht="30" customHeight="1" thickBot="1">
      <c r="A228" s="346" t="s">
        <v>316</v>
      </c>
      <c r="B228" s="346"/>
      <c r="C228" s="346"/>
      <c r="D228" s="346"/>
      <c r="E228" s="346"/>
      <c r="F228" s="346"/>
      <c r="G228" s="346"/>
      <c r="H228" s="346"/>
      <c r="I228" s="346"/>
      <c r="J228" s="346"/>
      <c r="K228" s="346"/>
      <c r="L228" s="346"/>
      <c r="M228" s="346"/>
      <c r="N228" s="346"/>
      <c r="O228" s="346"/>
      <c r="P228" s="346"/>
    </row>
    <row r="229" spans="1:16" ht="20.149999999999999" customHeight="1" thickBot="1">
      <c r="A229" s="347" t="s">
        <v>274</v>
      </c>
      <c r="B229" s="348"/>
      <c r="C229" s="348"/>
      <c r="D229" s="348"/>
      <c r="E229" s="349"/>
      <c r="F229" s="350"/>
      <c r="G229" s="158" t="s">
        <v>319</v>
      </c>
      <c r="H229" s="134" t="str">
        <f>IF(E229="","いない場合はゼロを入力してください","")</f>
        <v>いない場合はゼロを入力してください</v>
      </c>
      <c r="I229" s="3"/>
      <c r="J229" s="3"/>
      <c r="K229" s="3"/>
      <c r="L229" s="3"/>
      <c r="M229" s="3"/>
      <c r="N229" s="3"/>
      <c r="O229" s="3"/>
      <c r="P229" s="3"/>
    </row>
    <row r="230" spans="1:16" ht="18.75" customHeight="1">
      <c r="A230" s="131"/>
      <c r="B230" s="7"/>
      <c r="C230" s="7"/>
      <c r="D230" s="131"/>
      <c r="E230" s="131"/>
      <c r="F230" s="131"/>
      <c r="G230" s="131"/>
      <c r="H230" s="131"/>
      <c r="I230" s="131"/>
      <c r="J230" s="131"/>
      <c r="K230" s="131"/>
      <c r="L230" s="131"/>
      <c r="M230" s="131"/>
      <c r="N230" s="131"/>
      <c r="O230" s="131"/>
      <c r="P230" s="131"/>
    </row>
    <row r="231" spans="1:16" ht="30" customHeight="1" thickBot="1">
      <c r="A231" s="346" t="s">
        <v>317</v>
      </c>
      <c r="B231" s="346"/>
      <c r="C231" s="346"/>
      <c r="D231" s="346"/>
      <c r="E231" s="346"/>
      <c r="F231" s="346"/>
      <c r="G231" s="346"/>
      <c r="H231" s="346"/>
      <c r="I231" s="346"/>
      <c r="J231" s="346"/>
      <c r="K231" s="346"/>
      <c r="L231" s="346"/>
      <c r="M231" s="346"/>
      <c r="N231" s="346"/>
      <c r="O231" s="346"/>
      <c r="P231" s="346"/>
    </row>
    <row r="232" spans="1:16" ht="20.149999999999999" customHeight="1" thickBot="1">
      <c r="A232" s="347" t="s">
        <v>318</v>
      </c>
      <c r="B232" s="348"/>
      <c r="C232" s="348"/>
      <c r="D232" s="348"/>
      <c r="E232" s="349"/>
      <c r="F232" s="350"/>
      <c r="G232" s="158" t="s">
        <v>319</v>
      </c>
      <c r="H232" s="134" t="str">
        <f>IF(E232="","いない場合はゼロを入力してください","")</f>
        <v>いない場合はゼロを入力してください</v>
      </c>
      <c r="I232" s="3"/>
      <c r="J232" s="3"/>
      <c r="K232" s="3"/>
      <c r="L232" s="3"/>
      <c r="M232" s="3"/>
      <c r="N232" s="3"/>
      <c r="O232" s="3"/>
      <c r="P232" s="3"/>
    </row>
    <row r="233" spans="1:16" ht="8.5" customHeight="1">
      <c r="A233" s="149"/>
      <c r="B233" s="7"/>
      <c r="C233" s="7"/>
      <c r="D233" s="149"/>
      <c r="E233" s="149"/>
      <c r="F233" s="149"/>
      <c r="G233" s="149"/>
      <c r="H233" s="149"/>
      <c r="I233" s="149"/>
      <c r="J233" s="149"/>
      <c r="K233" s="149"/>
      <c r="L233" s="149"/>
      <c r="M233" s="149"/>
      <c r="N233" s="149"/>
      <c r="O233" s="149"/>
      <c r="P233" s="149"/>
    </row>
    <row r="234" spans="1:16" ht="30" customHeight="1">
      <c r="A234" s="4" t="s">
        <v>471</v>
      </c>
      <c r="B234" s="4"/>
      <c r="C234" s="4"/>
      <c r="D234" s="4"/>
      <c r="E234" s="4"/>
      <c r="F234" s="4"/>
      <c r="G234" s="4"/>
      <c r="H234" s="4"/>
      <c r="I234" s="4"/>
      <c r="J234" s="4"/>
      <c r="K234" s="4"/>
      <c r="L234" s="4"/>
      <c r="M234" s="4"/>
      <c r="N234" s="4"/>
      <c r="O234" s="4"/>
      <c r="P234" s="4"/>
    </row>
    <row r="235" spans="1:16" ht="30" customHeight="1" thickBot="1">
      <c r="A235" s="145" t="s">
        <v>569</v>
      </c>
      <c r="B235" s="145"/>
      <c r="C235" s="145"/>
      <c r="D235" s="145"/>
      <c r="E235" s="145"/>
      <c r="F235" s="145"/>
      <c r="H235" s="145"/>
      <c r="I235" s="174" t="str">
        <f>IF(COUNTIF(A236:A237,"✓")=1,"","どちらか一つにチェック")</f>
        <v>どちらか一つにチェック</v>
      </c>
      <c r="J235" s="145"/>
      <c r="K235" s="145"/>
      <c r="L235" s="182"/>
      <c r="M235" s="145"/>
      <c r="N235" s="171" t="str">
        <f>IF(L235&lt;O239,"←(2)より少ない人数になっています","")</f>
        <v/>
      </c>
      <c r="O235" s="145"/>
      <c r="P235" s="145"/>
    </row>
    <row r="236" spans="1:16" ht="20.149999999999999" customHeight="1">
      <c r="A236" s="175"/>
      <c r="B236" s="351" t="s">
        <v>472</v>
      </c>
      <c r="C236" s="352"/>
      <c r="D236" s="352"/>
      <c r="E236" s="352"/>
      <c r="F236" s="353"/>
      <c r="G236" s="174"/>
      <c r="H236" s="170" t="str">
        <f>IF(A236="✓","⇒（２）を回答してください","")</f>
        <v/>
      </c>
      <c r="I236" s="22"/>
      <c r="J236" s="1"/>
    </row>
    <row r="237" spans="1:16" ht="20.149999999999999" customHeight="1" thickBot="1">
      <c r="A237" s="176"/>
      <c r="B237" s="383" t="s">
        <v>320</v>
      </c>
      <c r="C237" s="384"/>
      <c r="D237" s="384"/>
      <c r="E237" s="384"/>
      <c r="F237" s="385"/>
      <c r="G237" s="174"/>
      <c r="H237" s="170" t="str">
        <f>IF(A237="✓","⇒調査は終了です。","")</f>
        <v/>
      </c>
      <c r="I237" s="22"/>
      <c r="J237" s="1"/>
    </row>
    <row r="238" spans="1:16" s="172" customFormat="1" ht="14.25" customHeight="1">
      <c r="A238" s="156"/>
      <c r="B238" s="183"/>
      <c r="C238" s="183"/>
      <c r="D238" s="183"/>
      <c r="E238" s="183"/>
      <c r="F238" s="183"/>
      <c r="G238" s="22"/>
      <c r="H238" s="22"/>
      <c r="I238" s="22"/>
      <c r="J238" s="1"/>
      <c r="K238" s="1"/>
      <c r="L238" s="1"/>
    </row>
    <row r="239" spans="1:16" ht="36.75" customHeight="1" thickBot="1">
      <c r="A239" s="365" t="s">
        <v>570</v>
      </c>
      <c r="B239" s="365"/>
      <c r="C239" s="365"/>
      <c r="D239" s="365"/>
      <c r="E239" s="365"/>
      <c r="F239" s="365"/>
      <c r="G239" s="365"/>
      <c r="H239" s="365"/>
      <c r="I239" s="365"/>
      <c r="J239" s="365"/>
      <c r="K239" s="365"/>
      <c r="L239" s="365"/>
      <c r="M239" s="365"/>
      <c r="N239" s="365"/>
      <c r="O239" s="365"/>
      <c r="P239" s="365"/>
    </row>
    <row r="240" spans="1:16" s="172" customFormat="1" ht="20.149999999999999" customHeight="1">
      <c r="A240" s="188"/>
      <c r="B240" s="396" t="s">
        <v>571</v>
      </c>
      <c r="C240" s="397"/>
      <c r="D240" s="397"/>
      <c r="E240" s="397"/>
      <c r="F240" s="397"/>
      <c r="G240" s="398"/>
      <c r="H240" s="22"/>
      <c r="I240" s="22"/>
      <c r="J240" s="1"/>
    </row>
    <row r="241" spans="1:18" s="172" customFormat="1" ht="20.149999999999999" customHeight="1">
      <c r="A241" s="189"/>
      <c r="B241" s="399" t="s">
        <v>572</v>
      </c>
      <c r="C241" s="400"/>
      <c r="D241" s="400"/>
      <c r="E241" s="400"/>
      <c r="F241" s="400"/>
      <c r="G241" s="401"/>
      <c r="H241" s="22"/>
      <c r="I241" s="318" t="s">
        <v>398</v>
      </c>
      <c r="J241" s="1"/>
    </row>
    <row r="242" spans="1:18" s="172" customFormat="1" ht="20.149999999999999" customHeight="1" thickBot="1">
      <c r="A242" s="187"/>
      <c r="B242" s="197" t="s">
        <v>157</v>
      </c>
      <c r="C242" s="195" t="s">
        <v>396</v>
      </c>
      <c r="D242" s="402"/>
      <c r="E242" s="402"/>
      <c r="F242" s="402"/>
      <c r="G242" s="196" t="s">
        <v>397</v>
      </c>
      <c r="H242" s="22"/>
      <c r="I242" s="22"/>
      <c r="J242" s="1"/>
    </row>
    <row r="243" spans="1:18" s="172" customFormat="1" ht="12.75" customHeight="1">
      <c r="A243" s="146"/>
      <c r="B243" s="146"/>
      <c r="C243" s="146"/>
      <c r="D243" s="146"/>
      <c r="E243" s="146"/>
      <c r="F243" s="146"/>
      <c r="G243" s="146"/>
      <c r="H243" s="146"/>
      <c r="I243" s="146"/>
      <c r="J243" s="146"/>
      <c r="K243" s="146"/>
      <c r="L243" s="146"/>
      <c r="M243" s="146"/>
      <c r="N243" s="146"/>
      <c r="O243" s="146"/>
      <c r="P243" s="146"/>
    </row>
    <row r="244" spans="1:18" s="172" customFormat="1" ht="36.75" customHeight="1">
      <c r="A244" s="365" t="s">
        <v>573</v>
      </c>
      <c r="B244" s="365"/>
      <c r="C244" s="365"/>
      <c r="D244" s="365"/>
      <c r="E244" s="365"/>
      <c r="F244" s="365"/>
      <c r="G244" s="365"/>
      <c r="H244" s="365"/>
      <c r="I244" s="365"/>
      <c r="J244" s="365"/>
      <c r="K244" s="365"/>
      <c r="L244" s="365"/>
      <c r="M244" s="365"/>
      <c r="N244" s="365"/>
      <c r="O244" s="365"/>
      <c r="P244" s="365"/>
    </row>
    <row r="245" spans="1:18" s="172" customFormat="1" ht="16.5" customHeight="1" thickBot="1">
      <c r="A245" s="146"/>
      <c r="B245" s="146"/>
      <c r="C245" s="146"/>
      <c r="D245" s="146"/>
      <c r="E245" s="146"/>
      <c r="F245" s="146"/>
      <c r="G245" s="146"/>
      <c r="H245" s="146"/>
      <c r="I245" s="146"/>
      <c r="J245" s="146"/>
      <c r="K245" s="146"/>
      <c r="L245" s="146"/>
      <c r="M245" s="146"/>
      <c r="N245" s="146"/>
      <c r="O245" s="146"/>
      <c r="P245" s="146"/>
    </row>
    <row r="246" spans="1:18" s="172" customFormat="1" ht="36" customHeight="1">
      <c r="A246" s="386"/>
      <c r="B246" s="387"/>
      <c r="C246" s="387"/>
      <c r="D246" s="387"/>
      <c r="E246" s="387"/>
      <c r="F246" s="387"/>
      <c r="G246" s="387"/>
      <c r="H246" s="387"/>
      <c r="I246" s="388"/>
      <c r="J246" s="180" t="s">
        <v>321</v>
      </c>
      <c r="K246" s="181" t="s">
        <v>322</v>
      </c>
      <c r="M246" s="146"/>
      <c r="N246" s="146"/>
      <c r="O246" s="146"/>
      <c r="P246" s="146"/>
    </row>
    <row r="247" spans="1:18" s="172" customFormat="1" ht="23.25" customHeight="1">
      <c r="A247" s="392" t="s">
        <v>571</v>
      </c>
      <c r="B247" s="393"/>
      <c r="C247" s="393"/>
      <c r="D247" s="393"/>
      <c r="E247" s="393"/>
      <c r="F247" s="393"/>
      <c r="G247" s="393"/>
      <c r="H247" s="393"/>
      <c r="I247" s="394"/>
      <c r="J247" s="191"/>
      <c r="K247" s="192"/>
      <c r="L247" s="174" t="str">
        <f>IF(COUNTIF(J247:K247,"✓")=1,"","どちらか一つにチェック")</f>
        <v>どちらか一つにチェック</v>
      </c>
      <c r="M247" s="199"/>
      <c r="N247" s="199"/>
      <c r="O247" s="146"/>
      <c r="P247" s="146"/>
    </row>
    <row r="248" spans="1:18" s="172" customFormat="1" ht="23.25" customHeight="1">
      <c r="A248" s="389" t="s">
        <v>572</v>
      </c>
      <c r="B248" s="390"/>
      <c r="C248" s="390"/>
      <c r="D248" s="390"/>
      <c r="E248" s="390"/>
      <c r="F248" s="390"/>
      <c r="G248" s="390"/>
      <c r="H248" s="390"/>
      <c r="I248" s="391"/>
      <c r="J248" s="191"/>
      <c r="K248" s="192"/>
      <c r="L248" s="174" t="str">
        <f>IF(COUNTIF(J248:K248,"✓")=1,"","どちらか一つにチェック")</f>
        <v>どちらか一つにチェック</v>
      </c>
      <c r="M248" s="199"/>
      <c r="N248" s="199"/>
      <c r="O248" s="146"/>
      <c r="P248" s="146"/>
    </row>
    <row r="249" spans="1:18" s="172" customFormat="1" ht="23.25" customHeight="1" thickBot="1">
      <c r="A249" s="177" t="s">
        <v>323</v>
      </c>
      <c r="B249" s="178"/>
      <c r="C249" s="395"/>
      <c r="D249" s="395"/>
      <c r="E249" s="395"/>
      <c r="F249" s="395"/>
      <c r="G249" s="395"/>
      <c r="H249" s="395"/>
      <c r="I249" s="179" t="s">
        <v>324</v>
      </c>
      <c r="J249" s="193"/>
      <c r="K249" s="194"/>
      <c r="L249" s="198"/>
      <c r="M249" s="199"/>
      <c r="N249" s="199"/>
      <c r="O249" s="146"/>
      <c r="P249" s="146"/>
    </row>
    <row r="250" spans="1:18" s="172" customFormat="1" ht="12" customHeight="1">
      <c r="A250" s="184"/>
      <c r="B250" s="184"/>
      <c r="C250" s="126"/>
      <c r="D250" s="126"/>
      <c r="E250" s="126"/>
      <c r="F250" s="126"/>
      <c r="G250" s="126"/>
      <c r="H250" s="126"/>
      <c r="I250" s="184"/>
      <c r="J250" s="185"/>
      <c r="K250" s="185"/>
      <c r="L250" s="186"/>
      <c r="M250" s="146"/>
      <c r="N250" s="146"/>
      <c r="O250" s="146"/>
      <c r="P250" s="146"/>
    </row>
    <row r="251" spans="1:18" ht="34.5" customHeight="1">
      <c r="A251" s="370" t="s">
        <v>275</v>
      </c>
      <c r="B251" s="370"/>
      <c r="C251" s="370"/>
      <c r="D251" s="370"/>
      <c r="E251" s="370"/>
      <c r="F251" s="370"/>
      <c r="G251" s="370"/>
      <c r="H251" s="370"/>
      <c r="I251" s="370"/>
      <c r="J251" s="370"/>
      <c r="K251" s="370"/>
      <c r="L251" s="370"/>
      <c r="M251" s="370"/>
      <c r="N251" s="370"/>
      <c r="O251" s="370"/>
      <c r="P251" s="370"/>
      <c r="Q251" s="143"/>
      <c r="R251" s="143"/>
    </row>
    <row r="252" spans="1:18" ht="39.65" customHeight="1">
      <c r="J252" s="453"/>
      <c r="K252" s="453"/>
      <c r="L252" s="453"/>
      <c r="M252" s="453"/>
      <c r="N252" s="453"/>
      <c r="O252" s="453"/>
      <c r="P252" s="453"/>
    </row>
  </sheetData>
  <mergeCells count="463">
    <mergeCell ref="I192:P192"/>
    <mergeCell ref="A37:B37"/>
    <mergeCell ref="A140:I140"/>
    <mergeCell ref="I142:P142"/>
    <mergeCell ref="A181:J181"/>
    <mergeCell ref="A190:J190"/>
    <mergeCell ref="X106:Y106"/>
    <mergeCell ref="L88:N88"/>
    <mergeCell ref="O88:P88"/>
    <mergeCell ref="L90:N90"/>
    <mergeCell ref="O90:P90"/>
    <mergeCell ref="L91:N91"/>
    <mergeCell ref="O91:P91"/>
    <mergeCell ref="L92:N92"/>
    <mergeCell ref="O92:P92"/>
    <mergeCell ref="L89:N89"/>
    <mergeCell ref="O89:P89"/>
    <mergeCell ref="L93:N93"/>
    <mergeCell ref="O93:P93"/>
    <mergeCell ref="L94:N94"/>
    <mergeCell ref="O94:P94"/>
    <mergeCell ref="L95:N95"/>
    <mergeCell ref="O95:P95"/>
    <mergeCell ref="D97:E97"/>
    <mergeCell ref="G97:H97"/>
    <mergeCell ref="L96:N96"/>
    <mergeCell ref="O96:P96"/>
    <mergeCell ref="L97:N97"/>
    <mergeCell ref="O97:P97"/>
    <mergeCell ref="I97:J97"/>
    <mergeCell ref="X104:Y104"/>
    <mergeCell ref="G92:H92"/>
    <mergeCell ref="I92:J92"/>
    <mergeCell ref="A101:P103"/>
    <mergeCell ref="A100:P100"/>
    <mergeCell ref="G94:H94"/>
    <mergeCell ref="I94:J94"/>
    <mergeCell ref="G95:H95"/>
    <mergeCell ref="I95:J95"/>
    <mergeCell ref="B96:C96"/>
    <mergeCell ref="B97:C97"/>
    <mergeCell ref="G93:H93"/>
    <mergeCell ref="I93:J93"/>
    <mergeCell ref="D96:E96"/>
    <mergeCell ref="G96:H96"/>
    <mergeCell ref="I96:J96"/>
    <mergeCell ref="B95:C95"/>
    <mergeCell ref="D95:E95"/>
    <mergeCell ref="B90:C90"/>
    <mergeCell ref="D90:E90"/>
    <mergeCell ref="G90:H90"/>
    <mergeCell ref="I90:J90"/>
    <mergeCell ref="B88:C88"/>
    <mergeCell ref="D88:E88"/>
    <mergeCell ref="B89:C89"/>
    <mergeCell ref="D89:E89"/>
    <mergeCell ref="B94:C94"/>
    <mergeCell ref="D94:E94"/>
    <mergeCell ref="B92:C92"/>
    <mergeCell ref="D92:E92"/>
    <mergeCell ref="B93:C93"/>
    <mergeCell ref="D93:E93"/>
    <mergeCell ref="G69:H69"/>
    <mergeCell ref="I69:J69"/>
    <mergeCell ref="G66:H66"/>
    <mergeCell ref="I66:J66"/>
    <mergeCell ref="B87:C87"/>
    <mergeCell ref="D87:E87"/>
    <mergeCell ref="B91:C91"/>
    <mergeCell ref="D91:E91"/>
    <mergeCell ref="G91:H91"/>
    <mergeCell ref="I91:J91"/>
    <mergeCell ref="D78:G78"/>
    <mergeCell ref="D79:G79"/>
    <mergeCell ref="G85:H85"/>
    <mergeCell ref="I85:J85"/>
    <mergeCell ref="G86:H86"/>
    <mergeCell ref="I86:J86"/>
    <mergeCell ref="G87:H87"/>
    <mergeCell ref="I87:J87"/>
    <mergeCell ref="G88:H88"/>
    <mergeCell ref="I88:J88"/>
    <mergeCell ref="G89:H89"/>
    <mergeCell ref="I89:J89"/>
    <mergeCell ref="B66:C66"/>
    <mergeCell ref="D66:E66"/>
    <mergeCell ref="K65:M65"/>
    <mergeCell ref="N65:P65"/>
    <mergeCell ref="B57:C57"/>
    <mergeCell ref="B62:C62"/>
    <mergeCell ref="D62:E62"/>
    <mergeCell ref="D58:E58"/>
    <mergeCell ref="B59:C59"/>
    <mergeCell ref="D59:E59"/>
    <mergeCell ref="B60:C60"/>
    <mergeCell ref="D60:E60"/>
    <mergeCell ref="B61:C61"/>
    <mergeCell ref="D61:E61"/>
    <mergeCell ref="B64:C64"/>
    <mergeCell ref="D64:E64"/>
    <mergeCell ref="B65:C65"/>
    <mergeCell ref="D65:E65"/>
    <mergeCell ref="G59:H59"/>
    <mergeCell ref="I59:J59"/>
    <mergeCell ref="K59:M59"/>
    <mergeCell ref="L85:N85"/>
    <mergeCell ref="L86:N86"/>
    <mergeCell ref="G64:H64"/>
    <mergeCell ref="I64:J64"/>
    <mergeCell ref="K64:M64"/>
    <mergeCell ref="B69:C69"/>
    <mergeCell ref="D69:E69"/>
    <mergeCell ref="A72:P72"/>
    <mergeCell ref="K69:M69"/>
    <mergeCell ref="N69:P69"/>
    <mergeCell ref="G67:H67"/>
    <mergeCell ref="I67:J67"/>
    <mergeCell ref="K67:M67"/>
    <mergeCell ref="N67:P67"/>
    <mergeCell ref="G68:H68"/>
    <mergeCell ref="I68:J68"/>
    <mergeCell ref="K68:M68"/>
    <mergeCell ref="N68:P68"/>
    <mergeCell ref="B67:C67"/>
    <mergeCell ref="D67:E67"/>
    <mergeCell ref="B68:C68"/>
    <mergeCell ref="N64:P64"/>
    <mergeCell ref="G65:H65"/>
    <mergeCell ref="I65:J65"/>
    <mergeCell ref="D85:E85"/>
    <mergeCell ref="D68:E68"/>
    <mergeCell ref="O87:P87"/>
    <mergeCell ref="B46:C46"/>
    <mergeCell ref="D46:G46"/>
    <mergeCell ref="B48:C48"/>
    <mergeCell ref="D48:G48"/>
    <mergeCell ref="B52:D53"/>
    <mergeCell ref="B51:D51"/>
    <mergeCell ref="G60:H60"/>
    <mergeCell ref="I60:J60"/>
    <mergeCell ref="K60:M60"/>
    <mergeCell ref="M52:N52"/>
    <mergeCell ref="G57:H57"/>
    <mergeCell ref="I57:J57"/>
    <mergeCell ref="K57:M57"/>
    <mergeCell ref="N57:P57"/>
    <mergeCell ref="G58:H58"/>
    <mergeCell ref="I58:J58"/>
    <mergeCell ref="K58:M58"/>
    <mergeCell ref="N58:P58"/>
    <mergeCell ref="O85:P85"/>
    <mergeCell ref="B79:C79"/>
    <mergeCell ref="B78:C78"/>
    <mergeCell ref="A109:D109"/>
    <mergeCell ref="E109:F109"/>
    <mergeCell ref="A147:P147"/>
    <mergeCell ref="N59:P59"/>
    <mergeCell ref="D57:E57"/>
    <mergeCell ref="B58:C58"/>
    <mergeCell ref="N60:P60"/>
    <mergeCell ref="G61:H61"/>
    <mergeCell ref="G63:H63"/>
    <mergeCell ref="I63:J63"/>
    <mergeCell ref="K63:M63"/>
    <mergeCell ref="N63:P63"/>
    <mergeCell ref="I61:J61"/>
    <mergeCell ref="K61:M61"/>
    <mergeCell ref="N61:P61"/>
    <mergeCell ref="G62:H62"/>
    <mergeCell ref="I62:J62"/>
    <mergeCell ref="K62:M62"/>
    <mergeCell ref="N62:P62"/>
    <mergeCell ref="B63:C63"/>
    <mergeCell ref="D63:E63"/>
    <mergeCell ref="B86:C86"/>
    <mergeCell ref="D86:E86"/>
    <mergeCell ref="B85:C85"/>
    <mergeCell ref="L87:N87"/>
    <mergeCell ref="O86:P86"/>
    <mergeCell ref="A40:D42"/>
    <mergeCell ref="E40:F40"/>
    <mergeCell ref="E51:F51"/>
    <mergeCell ref="E52:F52"/>
    <mergeCell ref="G52:H52"/>
    <mergeCell ref="I52:J52"/>
    <mergeCell ref="K52:L52"/>
    <mergeCell ref="E53:F53"/>
    <mergeCell ref="G53:H53"/>
    <mergeCell ref="B47:C47"/>
    <mergeCell ref="D47:G47"/>
    <mergeCell ref="M41:N41"/>
    <mergeCell ref="M42:N42"/>
    <mergeCell ref="O41:P41"/>
    <mergeCell ref="O42:P42"/>
    <mergeCell ref="O52:P52"/>
    <mergeCell ref="I53:J53"/>
    <mergeCell ref="K53:L53"/>
    <mergeCell ref="M53:N53"/>
    <mergeCell ref="O53:P53"/>
    <mergeCell ref="K66:M66"/>
    <mergeCell ref="N66:P66"/>
    <mergeCell ref="B22:D22"/>
    <mergeCell ref="B23:D23"/>
    <mergeCell ref="B24:D24"/>
    <mergeCell ref="B25:D25"/>
    <mergeCell ref="A22:A26"/>
    <mergeCell ref="E24:F24"/>
    <mergeCell ref="G24:H24"/>
    <mergeCell ref="I24:J24"/>
    <mergeCell ref="A2:P2"/>
    <mergeCell ref="M9:P9"/>
    <mergeCell ref="A5:D5"/>
    <mergeCell ref="E5:P5"/>
    <mergeCell ref="A6:D6"/>
    <mergeCell ref="E6:P6"/>
    <mergeCell ref="M22:N22"/>
    <mergeCell ref="M23:N23"/>
    <mergeCell ref="M24:N24"/>
    <mergeCell ref="K24:L24"/>
    <mergeCell ref="E22:F22"/>
    <mergeCell ref="G22:H22"/>
    <mergeCell ref="I22:J22"/>
    <mergeCell ref="K22:L22"/>
    <mergeCell ref="E20:H20"/>
    <mergeCell ref="I20:L20"/>
    <mergeCell ref="A3:D3"/>
    <mergeCell ref="A4:D4"/>
    <mergeCell ref="E3:P3"/>
    <mergeCell ref="E4:P4"/>
    <mergeCell ref="K9:L9"/>
    <mergeCell ref="M15:P15"/>
    <mergeCell ref="A20:D21"/>
    <mergeCell ref="E15:J15"/>
    <mergeCell ref="K15:L15"/>
    <mergeCell ref="E21:F21"/>
    <mergeCell ref="G21:H21"/>
    <mergeCell ref="I21:J21"/>
    <mergeCell ref="A13:D13"/>
    <mergeCell ref="E13:P13"/>
    <mergeCell ref="A14:D14"/>
    <mergeCell ref="E14:J14"/>
    <mergeCell ref="K14:L14"/>
    <mergeCell ref="M14:P14"/>
    <mergeCell ref="K21:L21"/>
    <mergeCell ref="M21:N21"/>
    <mergeCell ref="O21:P21"/>
    <mergeCell ref="M20:P20"/>
    <mergeCell ref="A19:P19"/>
    <mergeCell ref="A15:D15"/>
    <mergeCell ref="E23:F23"/>
    <mergeCell ref="G23:H23"/>
    <mergeCell ref="I23:J23"/>
    <mergeCell ref="K23:L23"/>
    <mergeCell ref="K25:L25"/>
    <mergeCell ref="M25:N25"/>
    <mergeCell ref="M27:N27"/>
    <mergeCell ref="O22:P22"/>
    <mergeCell ref="O23:P23"/>
    <mergeCell ref="O24:P24"/>
    <mergeCell ref="O25:P25"/>
    <mergeCell ref="O27:P27"/>
    <mergeCell ref="O26:P26"/>
    <mergeCell ref="A33:B33"/>
    <mergeCell ref="C33:D33"/>
    <mergeCell ref="A30:P30"/>
    <mergeCell ref="A34:B34"/>
    <mergeCell ref="C34:D34"/>
    <mergeCell ref="E25:F25"/>
    <mergeCell ref="G25:H25"/>
    <mergeCell ref="A27:D27"/>
    <mergeCell ref="E27:F27"/>
    <mergeCell ref="G27:H27"/>
    <mergeCell ref="I27:J27"/>
    <mergeCell ref="K27:L27"/>
    <mergeCell ref="A32:P32"/>
    <mergeCell ref="E26:F26"/>
    <mergeCell ref="I25:J25"/>
    <mergeCell ref="G26:H26"/>
    <mergeCell ref="I26:J26"/>
    <mergeCell ref="K26:L26"/>
    <mergeCell ref="B26:D26"/>
    <mergeCell ref="M26:N26"/>
    <mergeCell ref="E34:F34"/>
    <mergeCell ref="G34:H34"/>
    <mergeCell ref="I34:J34"/>
    <mergeCell ref="K34:L34"/>
    <mergeCell ref="K33:L33"/>
    <mergeCell ref="I33:J33"/>
    <mergeCell ref="G33:H33"/>
    <mergeCell ref="E33:F33"/>
    <mergeCell ref="E41:F41"/>
    <mergeCell ref="G41:H41"/>
    <mergeCell ref="I41:J41"/>
    <mergeCell ref="K41:L41"/>
    <mergeCell ref="E42:F42"/>
    <mergeCell ref="G42:H42"/>
    <mergeCell ref="I42:J42"/>
    <mergeCell ref="K42:L42"/>
    <mergeCell ref="J252:P252"/>
    <mergeCell ref="B182:I182"/>
    <mergeCell ref="B204:I204"/>
    <mergeCell ref="B186:I186"/>
    <mergeCell ref="A208:P208"/>
    <mergeCell ref="A212:P212"/>
    <mergeCell ref="B192:G192"/>
    <mergeCell ref="A121:C121"/>
    <mergeCell ref="E121:G121"/>
    <mergeCell ref="I121:K121"/>
    <mergeCell ref="M121:O121"/>
    <mergeCell ref="E159:F159"/>
    <mergeCell ref="B200:I200"/>
    <mergeCell ref="A124:C124"/>
    <mergeCell ref="E124:G124"/>
    <mergeCell ref="I124:K125"/>
    <mergeCell ref="L124:L125"/>
    <mergeCell ref="B191:G191"/>
    <mergeCell ref="A127:C127"/>
    <mergeCell ref="B141:G141"/>
    <mergeCell ref="B142:G142"/>
    <mergeCell ref="E125:G125"/>
    <mergeCell ref="D137:H137"/>
    <mergeCell ref="B137:C137"/>
    <mergeCell ref="I176:M176"/>
    <mergeCell ref="I116:K116"/>
    <mergeCell ref="M116:O116"/>
    <mergeCell ref="M124:O124"/>
    <mergeCell ref="M125:O125"/>
    <mergeCell ref="B151:I151"/>
    <mergeCell ref="B152:I152"/>
    <mergeCell ref="A159:D159"/>
    <mergeCell ref="B133:I133"/>
    <mergeCell ref="B135:I135"/>
    <mergeCell ref="B136:I136"/>
    <mergeCell ref="B153:I153"/>
    <mergeCell ref="B154:I154"/>
    <mergeCell ref="B155:C155"/>
    <mergeCell ref="A164:E165"/>
    <mergeCell ref="F164:F165"/>
    <mergeCell ref="I164:M165"/>
    <mergeCell ref="A123:C123"/>
    <mergeCell ref="E123:G123"/>
    <mergeCell ref="I123:K123"/>
    <mergeCell ref="M123:O123"/>
    <mergeCell ref="A120:C120"/>
    <mergeCell ref="E120:G120"/>
    <mergeCell ref="I120:K120"/>
    <mergeCell ref="A114:H114"/>
    <mergeCell ref="I114:P114"/>
    <mergeCell ref="A115:C115"/>
    <mergeCell ref="E115:G115"/>
    <mergeCell ref="I115:K115"/>
    <mergeCell ref="M115:O115"/>
    <mergeCell ref="I117:K117"/>
    <mergeCell ref="M117:O117"/>
    <mergeCell ref="A122:C122"/>
    <mergeCell ref="E122:G122"/>
    <mergeCell ref="A117:C117"/>
    <mergeCell ref="E117:G117"/>
    <mergeCell ref="M120:O120"/>
    <mergeCell ref="I118:K118"/>
    <mergeCell ref="M118:O118"/>
    <mergeCell ref="A119:C119"/>
    <mergeCell ref="E119:G119"/>
    <mergeCell ref="I119:K119"/>
    <mergeCell ref="M119:O119"/>
    <mergeCell ref="I122:K122"/>
    <mergeCell ref="M122:O122"/>
    <mergeCell ref="B132:I132"/>
    <mergeCell ref="A125:C125"/>
    <mergeCell ref="E127:G127"/>
    <mergeCell ref="B130:I130"/>
    <mergeCell ref="D187:H187"/>
    <mergeCell ref="A163:P163"/>
    <mergeCell ref="B202:I202"/>
    <mergeCell ref="A166:E166"/>
    <mergeCell ref="A167:E167"/>
    <mergeCell ref="A168:E168"/>
    <mergeCell ref="N164:N165"/>
    <mergeCell ref="H164:H165"/>
    <mergeCell ref="P164:P165"/>
    <mergeCell ref="A176:E176"/>
    <mergeCell ref="I166:M166"/>
    <mergeCell ref="I167:M167"/>
    <mergeCell ref="I168:M168"/>
    <mergeCell ref="I169:M169"/>
    <mergeCell ref="I170:M170"/>
    <mergeCell ref="I171:M171"/>
    <mergeCell ref="I172:M172"/>
    <mergeCell ref="I173:M173"/>
    <mergeCell ref="I174:M174"/>
    <mergeCell ref="I175:M175"/>
    <mergeCell ref="A1:P1"/>
    <mergeCell ref="I221:K221"/>
    <mergeCell ref="B209:E209"/>
    <mergeCell ref="B210:E210"/>
    <mergeCell ref="B134:I134"/>
    <mergeCell ref="B193:G193"/>
    <mergeCell ref="A197:P197"/>
    <mergeCell ref="B201:I201"/>
    <mergeCell ref="B143:G143"/>
    <mergeCell ref="A129:P129"/>
    <mergeCell ref="A118:C118"/>
    <mergeCell ref="A157:P157"/>
    <mergeCell ref="A216:P216"/>
    <mergeCell ref="A218:D218"/>
    <mergeCell ref="E218:F218"/>
    <mergeCell ref="A221:C221"/>
    <mergeCell ref="A107:P107"/>
    <mergeCell ref="B150:I150"/>
    <mergeCell ref="E221:G221"/>
    <mergeCell ref="A169:E169"/>
    <mergeCell ref="A170:E170"/>
    <mergeCell ref="A116:C116"/>
    <mergeCell ref="E116:G116"/>
    <mergeCell ref="B203:I203"/>
    <mergeCell ref="A251:P251"/>
    <mergeCell ref="A222:C222"/>
    <mergeCell ref="E222:G222"/>
    <mergeCell ref="A223:C223"/>
    <mergeCell ref="E223:G223"/>
    <mergeCell ref="I223:K223"/>
    <mergeCell ref="A224:C224"/>
    <mergeCell ref="E224:G224"/>
    <mergeCell ref="I224:K224"/>
    <mergeCell ref="A225:C225"/>
    <mergeCell ref="E225:G225"/>
    <mergeCell ref="I225:K225"/>
    <mergeCell ref="A226:C226"/>
    <mergeCell ref="E226:G226"/>
    <mergeCell ref="B237:F237"/>
    <mergeCell ref="A239:P239"/>
    <mergeCell ref="A246:I246"/>
    <mergeCell ref="A248:I248"/>
    <mergeCell ref="A247:I247"/>
    <mergeCell ref="C249:H249"/>
    <mergeCell ref="A244:P244"/>
    <mergeCell ref="B240:G240"/>
    <mergeCell ref="B241:G241"/>
    <mergeCell ref="D242:F242"/>
    <mergeCell ref="D155:H155"/>
    <mergeCell ref="A73:P73"/>
    <mergeCell ref="I47:P49"/>
    <mergeCell ref="A231:P231"/>
    <mergeCell ref="A232:D232"/>
    <mergeCell ref="E232:F232"/>
    <mergeCell ref="B236:F236"/>
    <mergeCell ref="A171:E171"/>
    <mergeCell ref="A172:E172"/>
    <mergeCell ref="A173:E173"/>
    <mergeCell ref="A174:E174"/>
    <mergeCell ref="A175:E175"/>
    <mergeCell ref="I226:K226"/>
    <mergeCell ref="A228:P228"/>
    <mergeCell ref="A229:D229"/>
    <mergeCell ref="E229:F229"/>
    <mergeCell ref="B205:I205"/>
    <mergeCell ref="D206:H206"/>
    <mergeCell ref="B183:I183"/>
    <mergeCell ref="B184:I184"/>
    <mergeCell ref="B185:I185"/>
    <mergeCell ref="A180:P180"/>
    <mergeCell ref="A106:P106"/>
    <mergeCell ref="B131:I131"/>
  </mergeCells>
  <phoneticPr fontId="1"/>
  <conditionalFormatting sqref="D222:D226 H222:H226 L222:L225">
    <cfRule type="expression" dxfId="70" priority="152">
      <formula>AND($E$218&lt;&gt;"",$E$218=0)</formula>
    </cfRule>
  </conditionalFormatting>
  <conditionalFormatting sqref="L222:L226">
    <cfRule type="expression" dxfId="69" priority="151">
      <formula>AND($E$282&lt;&gt;"",$E$282=0)</formula>
    </cfRule>
  </conditionalFormatting>
  <conditionalFormatting sqref="D115:D125 D127 H115:H124 L115:L123 P115:P124">
    <cfRule type="expression" dxfId="68" priority="128">
      <formula>AND($E$109&lt;&gt;"",$E$109=0)</formula>
    </cfRule>
  </conditionalFormatting>
  <conditionalFormatting sqref="F166:H176 N166:P175">
    <cfRule type="expression" dxfId="67" priority="120">
      <formula>AND($E$159&lt;&gt;"",$E$159=0)</formula>
    </cfRule>
  </conditionalFormatting>
  <conditionalFormatting sqref="D155 A150:A155">
    <cfRule type="expression" dxfId="66" priority="119">
      <formula>OR($A$141="✓",$A$142="✓")</formula>
    </cfRule>
  </conditionalFormatting>
  <conditionalFormatting sqref="A147:P147">
    <cfRule type="expression" dxfId="65" priority="118">
      <formula>OR($A$142="✓",$A$143="✓")</formula>
    </cfRule>
  </conditionalFormatting>
  <conditionalFormatting sqref="A197:P197">
    <cfRule type="expression" dxfId="64" priority="117">
      <formula>OR($A$192="✓",$A$193="✓")</formula>
    </cfRule>
  </conditionalFormatting>
  <conditionalFormatting sqref="A200:A206 D206">
    <cfRule type="expression" dxfId="63" priority="116">
      <formula>OR($A$191="✓",$A$192="✓")</formula>
    </cfRule>
  </conditionalFormatting>
  <conditionalFormatting sqref="A213:A214">
    <cfRule type="expression" dxfId="62" priority="115">
      <formula>$A$209="✓"</formula>
    </cfRule>
  </conditionalFormatting>
  <conditionalFormatting sqref="A240:A242 D242 C249">
    <cfRule type="expression" dxfId="61" priority="114">
      <formula>$A$237="✓"</formula>
    </cfRule>
  </conditionalFormatting>
  <conditionalFormatting sqref="J247:K249">
    <cfRule type="expression" dxfId="60" priority="113">
      <formula>$A$237="✓"</formula>
    </cfRule>
  </conditionalFormatting>
  <conditionalFormatting sqref="G52:P53">
    <cfRule type="expression" dxfId="59" priority="91">
      <formula>$B$48="✓"</formula>
    </cfRule>
  </conditionalFormatting>
  <conditionalFormatting sqref="D61:E69">
    <cfRule type="expression" dxfId="58" priority="71">
      <formula>OR($B$47="✓",$B$48="✓")</formula>
    </cfRule>
  </conditionalFormatting>
  <conditionalFormatting sqref="N58:N69">
    <cfRule type="expression" dxfId="57" priority="69">
      <formula>I58="既卒"</formula>
    </cfRule>
  </conditionalFormatting>
  <conditionalFormatting sqref="K59:M59">
    <cfRule type="expression" dxfId="56" priority="64">
      <formula>$H$58="$X$64"</formula>
    </cfRule>
  </conditionalFormatting>
  <conditionalFormatting sqref="K60:M69">
    <cfRule type="expression" dxfId="55" priority="62">
      <formula>$H$58="$X$64"</formula>
    </cfRule>
  </conditionalFormatting>
  <conditionalFormatting sqref="B60:P69">
    <cfRule type="expression" dxfId="54" priority="58">
      <formula>OR($B$47="✓",$B$48="✓")</formula>
    </cfRule>
  </conditionalFormatting>
  <conditionalFormatting sqref="L86">
    <cfRule type="expression" dxfId="53" priority="153">
      <formula>#REF!="既卒"</formula>
    </cfRule>
  </conditionalFormatting>
  <conditionalFormatting sqref="L87:L88">
    <cfRule type="expression" dxfId="52" priority="36">
      <formula>#REF!="既卒"</formula>
    </cfRule>
  </conditionalFormatting>
  <conditionalFormatting sqref="L89:L96">
    <cfRule type="expression" dxfId="51" priority="35">
      <formula>#REF!="既卒"</formula>
    </cfRule>
  </conditionalFormatting>
  <conditionalFormatting sqref="L90:L96">
    <cfRule type="expression" dxfId="50" priority="34">
      <formula>#REF!="既卒"</formula>
    </cfRule>
  </conditionalFormatting>
  <conditionalFormatting sqref="L90:L96">
    <cfRule type="expression" dxfId="49" priority="33">
      <formula>#REF!="既卒"</formula>
    </cfRule>
  </conditionalFormatting>
  <conditionalFormatting sqref="L92">
    <cfRule type="expression" dxfId="48" priority="32">
      <formula>#REF!="既卒"</formula>
    </cfRule>
  </conditionalFormatting>
  <conditionalFormatting sqref="L93">
    <cfRule type="expression" dxfId="47" priority="31">
      <formula>#REF!="既卒"</formula>
    </cfRule>
  </conditionalFormatting>
  <conditionalFormatting sqref="L94">
    <cfRule type="expression" dxfId="46" priority="30">
      <formula>#REF!="既卒"</formula>
    </cfRule>
  </conditionalFormatting>
  <conditionalFormatting sqref="L95">
    <cfRule type="expression" dxfId="45" priority="29">
      <formula>#REF!="既卒"</formula>
    </cfRule>
  </conditionalFormatting>
  <conditionalFormatting sqref="L96">
    <cfRule type="expression" dxfId="44" priority="28">
      <formula>#REF!="既卒"</formula>
    </cfRule>
  </conditionalFormatting>
  <conditionalFormatting sqref="L97">
    <cfRule type="expression" dxfId="43" priority="27">
      <formula>#REF!="既卒"</formula>
    </cfRule>
  </conditionalFormatting>
  <conditionalFormatting sqref="O86:P87 B88:P97 K87:N87">
    <cfRule type="expression" dxfId="42" priority="25">
      <formula>$B$79="✓"</formula>
    </cfRule>
  </conditionalFormatting>
  <conditionalFormatting sqref="O86:P97">
    <cfRule type="expression" dxfId="41" priority="24">
      <formula>AND($I86&lt;&gt;"１年未満（新卒）",$I86&lt;&gt;"")</formula>
    </cfRule>
  </conditionalFormatting>
  <conditionalFormatting sqref="L87:N88">
    <cfRule type="expression" dxfId="40" priority="22">
      <formula>AND($K87="×",$K87&lt;&gt;"")</formula>
    </cfRule>
  </conditionalFormatting>
  <conditionalFormatting sqref="L89:L96">
    <cfRule type="expression" dxfId="39" priority="21">
      <formula>#REF!="既卒"</formula>
    </cfRule>
  </conditionalFormatting>
  <conditionalFormatting sqref="L89:N96">
    <cfRule type="expression" dxfId="38" priority="20">
      <formula>AND($K89="×",$K89&lt;&gt;"")</formula>
    </cfRule>
  </conditionalFormatting>
  <conditionalFormatting sqref="L90:L96">
    <cfRule type="expression" dxfId="37" priority="19">
      <formula>#REF!="既卒"</formula>
    </cfRule>
  </conditionalFormatting>
  <conditionalFormatting sqref="L90:N96">
    <cfRule type="expression" dxfId="36" priority="18">
      <formula>AND($K90="×",$K90&lt;&gt;"")</formula>
    </cfRule>
  </conditionalFormatting>
  <conditionalFormatting sqref="L90:L96">
    <cfRule type="expression" dxfId="35" priority="17">
      <formula>#REF!="既卒"</formula>
    </cfRule>
  </conditionalFormatting>
  <conditionalFormatting sqref="L90:N96">
    <cfRule type="expression" dxfId="34" priority="16">
      <formula>AND($K90="×",$K90&lt;&gt;"")</formula>
    </cfRule>
  </conditionalFormatting>
  <conditionalFormatting sqref="L92">
    <cfRule type="expression" dxfId="33" priority="15">
      <formula>#REF!="既卒"</formula>
    </cfRule>
  </conditionalFormatting>
  <conditionalFormatting sqref="L92:N92">
    <cfRule type="expression" dxfId="32" priority="14">
      <formula>AND($K92="×",$K92&lt;&gt;"")</formula>
    </cfRule>
  </conditionalFormatting>
  <conditionalFormatting sqref="L93">
    <cfRule type="expression" dxfId="31" priority="13">
      <formula>#REF!="既卒"</formula>
    </cfRule>
  </conditionalFormatting>
  <conditionalFormatting sqref="L93:N93">
    <cfRule type="expression" dxfId="30" priority="12">
      <formula>AND($K93="×",$K93&lt;&gt;"")</formula>
    </cfRule>
  </conditionalFormatting>
  <conditionalFormatting sqref="L94">
    <cfRule type="expression" dxfId="29" priority="11">
      <formula>#REF!="既卒"</formula>
    </cfRule>
  </conditionalFormatting>
  <conditionalFormatting sqref="L94:N94">
    <cfRule type="expression" dxfId="28" priority="10">
      <formula>AND($K94="×",$K94&lt;&gt;"")</formula>
    </cfRule>
  </conditionalFormatting>
  <conditionalFormatting sqref="L95">
    <cfRule type="expression" dxfId="27" priority="9">
      <formula>#REF!="既卒"</formula>
    </cfRule>
  </conditionalFormatting>
  <conditionalFormatting sqref="L95:N95">
    <cfRule type="expression" dxfId="26" priority="8">
      <formula>AND($K95="×",$K95&lt;&gt;"")</formula>
    </cfRule>
  </conditionalFormatting>
  <conditionalFormatting sqref="L96">
    <cfRule type="expression" dxfId="25" priority="7">
      <formula>#REF!="既卒"</formula>
    </cfRule>
  </conditionalFormatting>
  <conditionalFormatting sqref="L96:N96">
    <cfRule type="expression" dxfId="24" priority="6">
      <formula>AND($K96="×",$K96&lt;&gt;"")</formula>
    </cfRule>
  </conditionalFormatting>
  <conditionalFormatting sqref="L97">
    <cfRule type="expression" dxfId="23" priority="5">
      <formula>#REF!="既卒"</formula>
    </cfRule>
  </conditionalFormatting>
  <conditionalFormatting sqref="L97:N97">
    <cfRule type="expression" dxfId="22" priority="4">
      <formula>AND($K97="×",$K97&lt;&gt;"")</formula>
    </cfRule>
  </conditionalFormatting>
  <conditionalFormatting sqref="D137:H137 A130:A137">
    <cfRule type="expression" dxfId="21" priority="2">
      <formula>AND($E$109&lt;&gt;"",$E$109=0)</formula>
    </cfRule>
  </conditionalFormatting>
  <conditionalFormatting sqref="G41:P42">
    <cfRule type="expression" dxfId="20" priority="154">
      <formula>$A$37="✓"</formula>
    </cfRule>
  </conditionalFormatting>
  <dataValidations count="6">
    <dataValidation type="list" allowBlank="1" showInputMessage="1" showErrorMessage="1" sqref="A37 A191:A193 A141:A143 A182:A187 A209:A210 A130:A137 A200:A206 A213:A214 A236:A238 A240:A242 J247:K249 J250:L250 B46:B48 C46 C48 B78:C80 B98:C99 B82:C84 B56:C56 B104:C104 A150:A155" xr:uid="{11E623B3-5CBF-4F51-B910-ADF7D6840678}">
      <formula1>"✓"</formula1>
    </dataValidation>
    <dataValidation imeMode="off" allowBlank="1" showInputMessage="1" showErrorMessage="1" prompt="別シート「常勤換算表」で計算ができます" sqref="K27:L27 G27:H27 G22:H25 K22:L25" xr:uid="{A157976C-91F2-484A-96A8-68B4209E3ABC}"/>
    <dataValidation allowBlank="1" showInputMessage="1" showErrorMessage="1" promptTitle="入力不要" prompt="計算式が入っています" sqref="M22:P27 E26:L26 O43:P43 O54:P54 O75:P75 O70:P70" xr:uid="{5AC46277-91E4-49DC-96BD-0390275C4E35}"/>
    <dataValidation type="list" allowBlank="1" showInputMessage="1" showErrorMessage="1" sqref="H166:H176 P166:P175" xr:uid="{CAE12CA8-B39D-4C86-8BA8-100E83985B75}">
      <formula1>"○"</formula1>
    </dataValidation>
    <dataValidation imeMode="off" allowBlank="1" showInputMessage="1" showErrorMessage="1" sqref="E22:F25 E27:F27 I22:J25 I27:J27 G166:G176 G85 E232:F232 L235 E159:F159 E229:F229 H222:H226 D222:D226 E218:F218 L222:L226 P115:P124 E109:F109 D115:D125 D127 H115:H124 L115:L123 N43 J43 H43 L43 P40 E40:E42 O40:O42 J40 H40 M40:M43 L40 G40:G43 K40:K43 I40:I43 N40 N54 J54 H54 L54 P51 O51:O53 J51 H51 L51 N51 E51:E53 G75:N75 G51:G54 I51:I54 M51:M54 K51:K54 G70:N70 N57 K57 G57 I57 O166:O175" xr:uid="{98E9C8C3-5688-4BF2-A299-53192918BE6E}"/>
    <dataValidation type="list" imeMode="off" allowBlank="1" showInputMessage="1" prompt="日付データ（例：8/1）の入力でも可" sqref="M9:P9" xr:uid="{18AAE99C-3EA5-4F28-AA50-BE391D1FB7D7}">
      <formula1>"令和　　　年　　　月　　　日"</formula1>
    </dataValidation>
  </dataValidations>
  <hyperlinks>
    <hyperlink ref="E4" r:id="rId1" xr:uid="{0AE08AFE-2E07-443E-9A21-3CC465127ED6}"/>
  </hyperlinks>
  <pageMargins left="0.9055118110236221" right="0.9055118110236221" top="0.74803149606299213" bottom="0.74803149606299213" header="0" footer="0"/>
  <pageSetup paperSize="9" scale="84" fitToHeight="0" orientation="portrait" verticalDpi="0" r:id="rId2"/>
  <headerFooter>
    <oddFooter>&amp;P / &amp;N ページ</oddFooter>
  </headerFooter>
  <rowBreaks count="6" manualBreakCount="6">
    <brk id="35" max="15" man="1"/>
    <brk id="74" max="15" man="1"/>
    <brk id="104" max="15" man="1"/>
    <brk id="144" max="15" man="1"/>
    <brk id="179" max="15" man="1"/>
    <brk id="215" max="15" man="1"/>
  </rowBreaks>
  <ignoredErrors>
    <ignoredError sqref="M26" formula="1"/>
  </ignoredErrors>
  <drawing r:id="rId3"/>
  <legacyDrawing r:id="rId4"/>
  <extLst>
    <ext xmlns:x14="http://schemas.microsoft.com/office/spreadsheetml/2009/9/main" uri="{CCE6A557-97BC-4b89-ADB6-D9C93CAAB3DF}">
      <x14:dataValidations xmlns:xm="http://schemas.microsoft.com/office/excel/2006/main" count="15">
        <x14:dataValidation type="list" allowBlank="1" showInputMessage="1" showErrorMessage="1" xr:uid="{5D2A8626-CB1D-45A3-AFEB-57510016156B}">
          <x14:formula1>
            <xm:f>カテゴリー!$B$3:$B$14</xm:f>
          </x14:formula1>
          <xm:sqref>B58:C69</xm:sqref>
        </x14:dataValidation>
        <x14:dataValidation type="list" imeMode="off" allowBlank="1" showInputMessage="1" showErrorMessage="1" xr:uid="{C7C98A3F-A5AE-480F-8B96-03E192C3222D}">
          <x14:formula1>
            <xm:f>カテゴリー!$C$3:$C$6</xm:f>
          </x14:formula1>
          <xm:sqref>D58:E69</xm:sqref>
        </x14:dataValidation>
        <x14:dataValidation type="list" imeMode="off" allowBlank="1" showInputMessage="1" showErrorMessage="1" xr:uid="{98A776B4-A741-413C-95AE-F3B8724FB807}">
          <x14:formula1>
            <xm:f>カテゴリー!$E$3:$E$4</xm:f>
          </x14:formula1>
          <xm:sqref>G58:H69</xm:sqref>
        </x14:dataValidation>
        <x14:dataValidation type="list" imeMode="off" allowBlank="1" showInputMessage="1" showErrorMessage="1" xr:uid="{4B41B84E-B1B4-4EC7-8C7D-2E47B351EF7E}">
          <x14:formula1>
            <xm:f>カテゴリー!$F$3:$F$4</xm:f>
          </x14:formula1>
          <xm:sqref>I58:J69</xm:sqref>
        </x14:dataValidation>
        <x14:dataValidation type="list" allowBlank="1" showInputMessage="1" showErrorMessage="1" xr:uid="{604C2514-7653-4FCC-9A53-EDEAA9BC4439}">
          <x14:formula1>
            <xm:f>カテゴリー!$H$3:$H$12</xm:f>
          </x14:formula1>
          <xm:sqref>N58:P69</xm:sqref>
        </x14:dataValidation>
        <x14:dataValidation type="list" imeMode="off" allowBlank="1" showInputMessage="1" showErrorMessage="1" xr:uid="{7FC285EA-92BC-4D7E-946C-98949B643DC7}">
          <x14:formula1>
            <xm:f>カテゴリー!$G$3:$G$6</xm:f>
          </x14:formula1>
          <xm:sqref>K58:M69</xm:sqref>
        </x14:dataValidation>
        <x14:dataValidation type="list" imeMode="off" allowBlank="1" showInputMessage="1" showErrorMessage="1" xr:uid="{D2EB74AD-7C34-4D27-80CF-4AD468B1CA0C}">
          <x14:formula1>
            <xm:f>カテゴリー!$D$3:$D$8</xm:f>
          </x14:formula1>
          <xm:sqref>F58:F69</xm:sqref>
        </x14:dataValidation>
        <x14:dataValidation type="list" allowBlank="1" showInputMessage="1" showErrorMessage="1" xr:uid="{DF987044-522E-4C82-B439-F09093362F64}">
          <x14:formula1>
            <xm:f>カテゴリー!$B$18:$B$29</xm:f>
          </x14:formula1>
          <xm:sqref>B86:C97</xm:sqref>
        </x14:dataValidation>
        <x14:dataValidation type="list" imeMode="off" allowBlank="1" showInputMessage="1" showErrorMessage="1" xr:uid="{17C380AC-2D72-4A25-B3FA-05F3D8BA3F6B}">
          <x14:formula1>
            <xm:f>カテゴリー!$C$18:$C$21</xm:f>
          </x14:formula1>
          <xm:sqref>D86:E97</xm:sqref>
        </x14:dataValidation>
        <x14:dataValidation type="list" imeMode="off" allowBlank="1" showInputMessage="1" showErrorMessage="1" xr:uid="{9B8F42AD-46B9-4977-9742-6CA9626F93AC}">
          <x14:formula1>
            <xm:f>カテゴリー!$D$18:$D$23</xm:f>
          </x14:formula1>
          <xm:sqref>F86:F97</xm:sqref>
        </x14:dataValidation>
        <x14:dataValidation type="list" allowBlank="1" showInputMessage="1" showErrorMessage="1" xr:uid="{F294C9C0-CFC8-41E3-98EC-48EE443CD6EC}">
          <x14:formula1>
            <xm:f>カテゴリー!$G$18:$G$19</xm:f>
          </x14:formula1>
          <xm:sqref>K86:K97</xm:sqref>
        </x14:dataValidation>
        <x14:dataValidation type="list" imeMode="off" allowBlank="1" showInputMessage="1" showErrorMessage="1" xr:uid="{C1AC42D8-8DD8-4419-ABEE-70B82713B352}">
          <x14:formula1>
            <xm:f>カテゴリー!$F$18:$F$24</xm:f>
          </x14:formula1>
          <xm:sqref>I86:J97</xm:sqref>
        </x14:dataValidation>
        <x14:dataValidation type="list" allowBlank="1" showInputMessage="1" showErrorMessage="1" xr:uid="{E3D4B1CD-8212-4BAF-B32A-0095C4805A89}">
          <x14:formula1>
            <xm:f>カテゴリー!$H$18:$H$34</xm:f>
          </x14:formula1>
          <xm:sqref>L86:N97</xm:sqref>
        </x14:dataValidation>
        <x14:dataValidation type="list" imeMode="off" allowBlank="1" showInputMessage="1" showErrorMessage="1" xr:uid="{3CE0FE6F-A221-4E47-9BE2-9B4A6AFE529A}">
          <x14:formula1>
            <xm:f>カテゴリー!$E$18:$E$19</xm:f>
          </x14:formula1>
          <xm:sqref>G86:H97</xm:sqref>
        </x14:dataValidation>
        <x14:dataValidation type="list" allowBlank="1" showInputMessage="1" showErrorMessage="1" xr:uid="{7435138F-6358-4033-89CE-16C83E5EF256}">
          <x14:formula1>
            <xm:f>カテゴリー!$I$18:$I$28</xm:f>
          </x14:formula1>
          <xm:sqref>O86:P97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D8176-080B-4CB8-942D-64F0C29A058E}">
  <sheetPr>
    <tabColor rgb="FF92D050"/>
    <pageSetUpPr fitToPage="1"/>
  </sheetPr>
  <dimension ref="A1:M41"/>
  <sheetViews>
    <sheetView workbookViewId="0">
      <selection sqref="A1:M1"/>
    </sheetView>
  </sheetViews>
  <sheetFormatPr defaultColWidth="8.25" defaultRowHeight="14"/>
  <cols>
    <col min="1" max="1" width="9.75" style="34" customWidth="1"/>
    <col min="2" max="2" width="13.08203125" style="34" customWidth="1"/>
    <col min="3" max="4" width="12.5" style="35" customWidth="1"/>
    <col min="5" max="5" width="10" style="35" customWidth="1"/>
    <col min="6" max="6" width="10" style="36" customWidth="1"/>
    <col min="7" max="7" width="2.83203125" style="34" customWidth="1"/>
    <col min="8" max="8" width="9.75" style="34" customWidth="1"/>
    <col min="9" max="9" width="13.08203125" style="34" customWidth="1"/>
    <col min="10" max="11" width="12.5" style="35" customWidth="1"/>
    <col min="12" max="12" width="10" style="35" customWidth="1"/>
    <col min="13" max="13" width="10" style="36" customWidth="1"/>
    <col min="14" max="16384" width="8.25" style="34"/>
  </cols>
  <sheetData>
    <row r="1" spans="1:13" ht="32.5" customHeight="1" thickBot="1">
      <c r="A1" s="697" t="s">
        <v>109</v>
      </c>
      <c r="B1" s="697"/>
      <c r="C1" s="697"/>
      <c r="D1" s="697"/>
      <c r="E1" s="697"/>
      <c r="F1" s="697"/>
      <c r="G1" s="697"/>
      <c r="H1" s="697"/>
      <c r="I1" s="697"/>
      <c r="J1" s="697"/>
      <c r="K1" s="697"/>
      <c r="L1" s="697"/>
      <c r="M1" s="697"/>
    </row>
    <row r="2" spans="1:13" ht="27.65" customHeight="1" thickBot="1">
      <c r="A2" s="691" t="s">
        <v>91</v>
      </c>
      <c r="B2" s="692"/>
      <c r="C2" s="692"/>
      <c r="D2" s="692"/>
      <c r="E2" s="692"/>
      <c r="F2" s="693"/>
      <c r="G2" s="43"/>
      <c r="H2" s="698" t="s">
        <v>100</v>
      </c>
      <c r="I2" s="699"/>
      <c r="J2" s="699"/>
      <c r="K2" s="699"/>
      <c r="L2" s="699"/>
      <c r="M2" s="700"/>
    </row>
    <row r="3" spans="1:13" ht="35.15" customHeight="1" thickBot="1">
      <c r="A3" s="44" t="s">
        <v>104</v>
      </c>
      <c r="B3" s="45" t="s">
        <v>111</v>
      </c>
      <c r="C3" s="46" t="s">
        <v>87</v>
      </c>
      <c r="D3" s="47" t="s">
        <v>110</v>
      </c>
      <c r="E3" s="46" t="s">
        <v>88</v>
      </c>
      <c r="F3" s="48" t="s">
        <v>89</v>
      </c>
      <c r="G3" s="43"/>
      <c r="H3" s="44" t="s">
        <v>104</v>
      </c>
      <c r="I3" s="45" t="s">
        <v>111</v>
      </c>
      <c r="J3" s="46" t="s">
        <v>87</v>
      </c>
      <c r="K3" s="47" t="s">
        <v>110</v>
      </c>
      <c r="L3" s="46" t="s">
        <v>88</v>
      </c>
      <c r="M3" s="48" t="s">
        <v>89</v>
      </c>
    </row>
    <row r="4" spans="1:13" ht="30" customHeight="1">
      <c r="A4" s="684" t="s">
        <v>106</v>
      </c>
      <c r="B4" s="49" t="s">
        <v>113</v>
      </c>
      <c r="C4" s="50"/>
      <c r="D4" s="50"/>
      <c r="E4" s="51"/>
      <c r="F4" s="60">
        <f>E4</f>
        <v>0</v>
      </c>
      <c r="G4" s="43"/>
      <c r="H4" s="701" t="s">
        <v>106</v>
      </c>
      <c r="I4" s="49" t="s">
        <v>113</v>
      </c>
      <c r="J4" s="52"/>
      <c r="K4" s="52"/>
      <c r="L4" s="53"/>
      <c r="M4" s="61">
        <f>L4</f>
        <v>0</v>
      </c>
    </row>
    <row r="5" spans="1:13" ht="30" customHeight="1">
      <c r="A5" s="685"/>
      <c r="B5" s="687" t="s">
        <v>112</v>
      </c>
      <c r="C5" s="54"/>
      <c r="D5" s="54"/>
      <c r="E5" s="55"/>
      <c r="F5" s="59">
        <f t="shared" ref="F5:F6" si="0">IFERROR(ROUND(C5/D5*E5,1),0)</f>
        <v>0</v>
      </c>
      <c r="G5" s="43"/>
      <c r="H5" s="685"/>
      <c r="I5" s="687" t="s">
        <v>112</v>
      </c>
      <c r="J5" s="54"/>
      <c r="K5" s="54"/>
      <c r="L5" s="55"/>
      <c r="M5" s="59">
        <f t="shared" ref="M5:M6" si="1">IFERROR(ROUND(J5/K5*L5,1),0)</f>
        <v>0</v>
      </c>
    </row>
    <row r="6" spans="1:13" ht="30" customHeight="1">
      <c r="A6" s="685"/>
      <c r="B6" s="688"/>
      <c r="C6" s="54"/>
      <c r="D6" s="54"/>
      <c r="E6" s="55"/>
      <c r="F6" s="59">
        <f t="shared" si="0"/>
        <v>0</v>
      </c>
      <c r="G6" s="43"/>
      <c r="H6" s="685"/>
      <c r="I6" s="688"/>
      <c r="J6" s="54"/>
      <c r="K6" s="54"/>
      <c r="L6" s="55"/>
      <c r="M6" s="59">
        <f t="shared" si="1"/>
        <v>0</v>
      </c>
    </row>
    <row r="7" spans="1:13" ht="30" customHeight="1">
      <c r="A7" s="685"/>
      <c r="B7" s="688"/>
      <c r="C7" s="54"/>
      <c r="D7" s="54"/>
      <c r="E7" s="55"/>
      <c r="F7" s="59">
        <f>IFERROR(ROUND(C7/D7*E7,1),0)</f>
        <v>0</v>
      </c>
      <c r="G7" s="43"/>
      <c r="H7" s="685"/>
      <c r="I7" s="688"/>
      <c r="J7" s="54"/>
      <c r="K7" s="54"/>
      <c r="L7" s="55"/>
      <c r="M7" s="59">
        <f>IFERROR(ROUND(J7/K7*L7,1),0)</f>
        <v>0</v>
      </c>
    </row>
    <row r="8" spans="1:13" ht="30" customHeight="1">
      <c r="A8" s="685"/>
      <c r="B8" s="688"/>
      <c r="C8" s="54"/>
      <c r="D8" s="54"/>
      <c r="E8" s="55"/>
      <c r="F8" s="59">
        <f>IFERROR(ROUND(C8/D8*E8,1),0)</f>
        <v>0</v>
      </c>
      <c r="G8" s="43"/>
      <c r="H8" s="685"/>
      <c r="I8" s="688"/>
      <c r="J8" s="54"/>
      <c r="K8" s="54"/>
      <c r="L8" s="55"/>
      <c r="M8" s="59">
        <f>IFERROR(ROUND(J8/K8*L8,1),0)</f>
        <v>0</v>
      </c>
    </row>
    <row r="9" spans="1:13" ht="30" customHeight="1">
      <c r="A9" s="685"/>
      <c r="B9" s="688"/>
      <c r="C9" s="54"/>
      <c r="D9" s="54"/>
      <c r="E9" s="55"/>
      <c r="F9" s="59">
        <f t="shared" ref="F9:F11" si="2">IFERROR(ROUND(C9/D9*E9,1),0)</f>
        <v>0</v>
      </c>
      <c r="G9" s="43"/>
      <c r="H9" s="685"/>
      <c r="I9" s="688"/>
      <c r="J9" s="54"/>
      <c r="K9" s="54"/>
      <c r="L9" s="55"/>
      <c r="M9" s="59">
        <f t="shared" ref="M9:M11" si="3">IFERROR(ROUND(J9/K9*L9,1),0)</f>
        <v>0</v>
      </c>
    </row>
    <row r="10" spans="1:13" ht="30" customHeight="1">
      <c r="A10" s="685"/>
      <c r="B10" s="688"/>
      <c r="C10" s="54"/>
      <c r="D10" s="54"/>
      <c r="E10" s="55"/>
      <c r="F10" s="59">
        <f t="shared" si="2"/>
        <v>0</v>
      </c>
      <c r="G10" s="43"/>
      <c r="H10" s="685"/>
      <c r="I10" s="688"/>
      <c r="J10" s="54"/>
      <c r="K10" s="54"/>
      <c r="L10" s="55"/>
      <c r="M10" s="59">
        <f t="shared" si="3"/>
        <v>0</v>
      </c>
    </row>
    <row r="11" spans="1:13" ht="30" customHeight="1">
      <c r="A11" s="685"/>
      <c r="B11" s="688"/>
      <c r="C11" s="54"/>
      <c r="D11" s="54"/>
      <c r="E11" s="55"/>
      <c r="F11" s="59">
        <f t="shared" si="2"/>
        <v>0</v>
      </c>
      <c r="G11" s="43"/>
      <c r="H11" s="685"/>
      <c r="I11" s="688"/>
      <c r="J11" s="54"/>
      <c r="K11" s="54"/>
      <c r="L11" s="55"/>
      <c r="M11" s="59">
        <f t="shared" si="3"/>
        <v>0</v>
      </c>
    </row>
    <row r="12" spans="1:13" ht="30" customHeight="1" thickBot="1">
      <c r="A12" s="686"/>
      <c r="B12" s="689" t="s">
        <v>90</v>
      </c>
      <c r="C12" s="690"/>
      <c r="D12" s="690"/>
      <c r="E12" s="690"/>
      <c r="F12" s="58">
        <f>SUM(F4:F11)</f>
        <v>0</v>
      </c>
      <c r="G12" s="43"/>
      <c r="H12" s="686"/>
      <c r="I12" s="689" t="s">
        <v>90</v>
      </c>
      <c r="J12" s="690"/>
      <c r="K12" s="690"/>
      <c r="L12" s="690"/>
      <c r="M12" s="58">
        <f>SUM(M4:M11)</f>
        <v>0</v>
      </c>
    </row>
    <row r="13" spans="1:13" ht="30" customHeight="1">
      <c r="A13" s="684" t="s">
        <v>107</v>
      </c>
      <c r="B13" s="49" t="s">
        <v>113</v>
      </c>
      <c r="C13" s="50"/>
      <c r="D13" s="50"/>
      <c r="E13" s="51"/>
      <c r="F13" s="60">
        <f>E13</f>
        <v>0</v>
      </c>
      <c r="G13" s="43"/>
      <c r="H13" s="684" t="s">
        <v>107</v>
      </c>
      <c r="I13" s="49" t="s">
        <v>113</v>
      </c>
      <c r="J13" s="50"/>
      <c r="K13" s="50"/>
      <c r="L13" s="51"/>
      <c r="M13" s="60">
        <f>L13</f>
        <v>0</v>
      </c>
    </row>
    <row r="14" spans="1:13" ht="30" customHeight="1">
      <c r="A14" s="685"/>
      <c r="B14" s="687" t="s">
        <v>112</v>
      </c>
      <c r="C14" s="54"/>
      <c r="D14" s="54"/>
      <c r="E14" s="55"/>
      <c r="F14" s="59">
        <f t="shared" ref="F14:F15" si="4">IFERROR(ROUND(C14/D14*E14,1),0)</f>
        <v>0</v>
      </c>
      <c r="G14" s="43"/>
      <c r="H14" s="685"/>
      <c r="I14" s="687" t="s">
        <v>112</v>
      </c>
      <c r="J14" s="54"/>
      <c r="K14" s="54"/>
      <c r="L14" s="55"/>
      <c r="M14" s="59">
        <f t="shared" ref="M14:M15" si="5">IFERROR(ROUND(J14/K14*L14,1),0)</f>
        <v>0</v>
      </c>
    </row>
    <row r="15" spans="1:13" ht="30" customHeight="1">
      <c r="A15" s="685"/>
      <c r="B15" s="688"/>
      <c r="C15" s="54"/>
      <c r="D15" s="54"/>
      <c r="E15" s="55"/>
      <c r="F15" s="59">
        <f t="shared" si="4"/>
        <v>0</v>
      </c>
      <c r="G15" s="43"/>
      <c r="H15" s="685"/>
      <c r="I15" s="688"/>
      <c r="J15" s="54"/>
      <c r="K15" s="54"/>
      <c r="L15" s="55"/>
      <c r="M15" s="59">
        <f t="shared" si="5"/>
        <v>0</v>
      </c>
    </row>
    <row r="16" spans="1:13" ht="30" customHeight="1">
      <c r="A16" s="685"/>
      <c r="B16" s="688"/>
      <c r="C16" s="54"/>
      <c r="D16" s="54"/>
      <c r="E16" s="55"/>
      <c r="F16" s="59">
        <f>IFERROR(ROUND(C16/D16*E16,1),0)</f>
        <v>0</v>
      </c>
      <c r="G16" s="43"/>
      <c r="H16" s="685"/>
      <c r="I16" s="688"/>
      <c r="J16" s="54"/>
      <c r="K16" s="54"/>
      <c r="L16" s="55"/>
      <c r="M16" s="59">
        <f>IFERROR(ROUND(J16/K16*L16,1),0)</f>
        <v>0</v>
      </c>
    </row>
    <row r="17" spans="1:13" ht="30" customHeight="1">
      <c r="A17" s="685"/>
      <c r="B17" s="688"/>
      <c r="C17" s="54"/>
      <c r="D17" s="54"/>
      <c r="E17" s="55"/>
      <c r="F17" s="59">
        <f>IFERROR(ROUND(C17/D17*E17,1),0)</f>
        <v>0</v>
      </c>
      <c r="G17" s="43"/>
      <c r="H17" s="685"/>
      <c r="I17" s="688"/>
      <c r="J17" s="54"/>
      <c r="K17" s="54"/>
      <c r="L17" s="55"/>
      <c r="M17" s="59">
        <f>IFERROR(ROUND(J17/K17*L17,1),0)</f>
        <v>0</v>
      </c>
    </row>
    <row r="18" spans="1:13" ht="30" customHeight="1">
      <c r="A18" s="685"/>
      <c r="B18" s="688"/>
      <c r="C18" s="54"/>
      <c r="D18" s="54"/>
      <c r="E18" s="55"/>
      <c r="F18" s="59">
        <f t="shared" ref="F18:F20" si="6">IFERROR(ROUND(C18/D18*E18,1),0)</f>
        <v>0</v>
      </c>
      <c r="G18" s="43"/>
      <c r="H18" s="685"/>
      <c r="I18" s="688"/>
      <c r="J18" s="54"/>
      <c r="K18" s="54"/>
      <c r="L18" s="55"/>
      <c r="M18" s="59">
        <f t="shared" ref="M18:M20" si="7">IFERROR(ROUND(J18/K18*L18,1),0)</f>
        <v>0</v>
      </c>
    </row>
    <row r="19" spans="1:13" ht="30" customHeight="1">
      <c r="A19" s="685"/>
      <c r="B19" s="688"/>
      <c r="C19" s="54"/>
      <c r="D19" s="54"/>
      <c r="E19" s="55"/>
      <c r="F19" s="59">
        <f t="shared" si="6"/>
        <v>0</v>
      </c>
      <c r="G19" s="43"/>
      <c r="H19" s="685"/>
      <c r="I19" s="688"/>
      <c r="J19" s="54"/>
      <c r="K19" s="54"/>
      <c r="L19" s="55"/>
      <c r="M19" s="59">
        <f t="shared" si="7"/>
        <v>0</v>
      </c>
    </row>
    <row r="20" spans="1:13" ht="30" customHeight="1">
      <c r="A20" s="685"/>
      <c r="B20" s="688"/>
      <c r="C20" s="54"/>
      <c r="D20" s="54"/>
      <c r="E20" s="55"/>
      <c r="F20" s="59">
        <f t="shared" si="6"/>
        <v>0</v>
      </c>
      <c r="G20" s="43"/>
      <c r="H20" s="685"/>
      <c r="I20" s="688"/>
      <c r="J20" s="54"/>
      <c r="K20" s="54"/>
      <c r="L20" s="55"/>
      <c r="M20" s="59">
        <f t="shared" si="7"/>
        <v>0</v>
      </c>
    </row>
    <row r="21" spans="1:13" ht="30" customHeight="1" thickBot="1">
      <c r="A21" s="686"/>
      <c r="B21" s="689" t="s">
        <v>90</v>
      </c>
      <c r="C21" s="690"/>
      <c r="D21" s="690"/>
      <c r="E21" s="690"/>
      <c r="F21" s="58">
        <f>SUM(F13:F20)</f>
        <v>0</v>
      </c>
      <c r="G21" s="43"/>
      <c r="H21" s="686"/>
      <c r="I21" s="689" t="s">
        <v>90</v>
      </c>
      <c r="J21" s="690"/>
      <c r="K21" s="690"/>
      <c r="L21" s="690"/>
      <c r="M21" s="58">
        <f>SUM(M13:M20)</f>
        <v>0</v>
      </c>
    </row>
    <row r="22" spans="1:13" ht="30" customHeight="1">
      <c r="A22" s="694" t="s">
        <v>105</v>
      </c>
      <c r="B22" s="49" t="s">
        <v>113</v>
      </c>
      <c r="C22" s="50"/>
      <c r="D22" s="50"/>
      <c r="E22" s="51"/>
      <c r="F22" s="60">
        <f>E22</f>
        <v>0</v>
      </c>
      <c r="G22" s="43"/>
      <c r="H22" s="694" t="s">
        <v>105</v>
      </c>
      <c r="I22" s="49" t="s">
        <v>113</v>
      </c>
      <c r="J22" s="50"/>
      <c r="K22" s="50"/>
      <c r="L22" s="51"/>
      <c r="M22" s="60">
        <f>L22</f>
        <v>0</v>
      </c>
    </row>
    <row r="23" spans="1:13" ht="30" customHeight="1">
      <c r="A23" s="695"/>
      <c r="B23" s="687" t="s">
        <v>112</v>
      </c>
      <c r="C23" s="54"/>
      <c r="D23" s="54"/>
      <c r="E23" s="55"/>
      <c r="F23" s="59">
        <f t="shared" ref="F23:F24" si="8">IFERROR(ROUND(C23/D23*E23,1),0)</f>
        <v>0</v>
      </c>
      <c r="G23" s="43"/>
      <c r="H23" s="695"/>
      <c r="I23" s="687" t="s">
        <v>112</v>
      </c>
      <c r="J23" s="54"/>
      <c r="K23" s="54"/>
      <c r="L23" s="55"/>
      <c r="M23" s="59">
        <f t="shared" ref="M23:M24" si="9">IFERROR(ROUND(J23/K23*L23,1),0)</f>
        <v>0</v>
      </c>
    </row>
    <row r="24" spans="1:13" ht="30" customHeight="1">
      <c r="A24" s="695"/>
      <c r="B24" s="688"/>
      <c r="C24" s="54"/>
      <c r="D24" s="54"/>
      <c r="E24" s="55"/>
      <c r="F24" s="59">
        <f t="shared" si="8"/>
        <v>0</v>
      </c>
      <c r="G24" s="43"/>
      <c r="H24" s="695"/>
      <c r="I24" s="688"/>
      <c r="J24" s="54"/>
      <c r="K24" s="54"/>
      <c r="L24" s="55"/>
      <c r="M24" s="59">
        <f t="shared" si="9"/>
        <v>0</v>
      </c>
    </row>
    <row r="25" spans="1:13" ht="30" customHeight="1">
      <c r="A25" s="695"/>
      <c r="B25" s="688"/>
      <c r="C25" s="54"/>
      <c r="D25" s="54"/>
      <c r="E25" s="55"/>
      <c r="F25" s="59">
        <f>IFERROR(ROUND(C25/D25*E25,1),0)</f>
        <v>0</v>
      </c>
      <c r="G25" s="43"/>
      <c r="H25" s="695"/>
      <c r="I25" s="688"/>
      <c r="J25" s="54"/>
      <c r="K25" s="54"/>
      <c r="L25" s="55"/>
      <c r="M25" s="59">
        <f>IFERROR(ROUND(J25/K25*L25,1),0)</f>
        <v>0</v>
      </c>
    </row>
    <row r="26" spans="1:13" ht="30" customHeight="1">
      <c r="A26" s="695"/>
      <c r="B26" s="688"/>
      <c r="C26" s="54"/>
      <c r="D26" s="54"/>
      <c r="E26" s="55"/>
      <c r="F26" s="59">
        <f>IFERROR(ROUND(C26/D26*E26,1),0)</f>
        <v>0</v>
      </c>
      <c r="G26" s="43"/>
      <c r="H26" s="695"/>
      <c r="I26" s="688"/>
      <c r="J26" s="54"/>
      <c r="K26" s="54"/>
      <c r="L26" s="55"/>
      <c r="M26" s="59">
        <f>IFERROR(ROUND(J26/K26*L26,1),0)</f>
        <v>0</v>
      </c>
    </row>
    <row r="27" spans="1:13" ht="30" customHeight="1">
      <c r="A27" s="695"/>
      <c r="B27" s="688"/>
      <c r="C27" s="54"/>
      <c r="D27" s="54"/>
      <c r="E27" s="55"/>
      <c r="F27" s="59">
        <f t="shared" ref="F27:F29" si="10">IFERROR(ROUND(C27/D27*E27,1),0)</f>
        <v>0</v>
      </c>
      <c r="G27" s="43"/>
      <c r="H27" s="695"/>
      <c r="I27" s="688"/>
      <c r="J27" s="54"/>
      <c r="K27" s="54"/>
      <c r="L27" s="55"/>
      <c r="M27" s="59">
        <f t="shared" ref="M27:M29" si="11">IFERROR(ROUND(J27/K27*L27,1),0)</f>
        <v>0</v>
      </c>
    </row>
    <row r="28" spans="1:13" ht="30" customHeight="1">
      <c r="A28" s="695"/>
      <c r="B28" s="688"/>
      <c r="C28" s="54"/>
      <c r="D28" s="54"/>
      <c r="E28" s="55"/>
      <c r="F28" s="59">
        <f t="shared" si="10"/>
        <v>0</v>
      </c>
      <c r="G28" s="43"/>
      <c r="H28" s="695"/>
      <c r="I28" s="688"/>
      <c r="J28" s="54"/>
      <c r="K28" s="54"/>
      <c r="L28" s="55"/>
      <c r="M28" s="59">
        <f t="shared" si="11"/>
        <v>0</v>
      </c>
    </row>
    <row r="29" spans="1:13" ht="30" customHeight="1">
      <c r="A29" s="695"/>
      <c r="B29" s="688"/>
      <c r="C29" s="54"/>
      <c r="D29" s="54"/>
      <c r="E29" s="55"/>
      <c r="F29" s="59">
        <f t="shared" si="10"/>
        <v>0</v>
      </c>
      <c r="G29" s="43"/>
      <c r="H29" s="695"/>
      <c r="I29" s="688"/>
      <c r="J29" s="54"/>
      <c r="K29" s="54"/>
      <c r="L29" s="55"/>
      <c r="M29" s="59">
        <f t="shared" si="11"/>
        <v>0</v>
      </c>
    </row>
    <row r="30" spans="1:13" ht="30" customHeight="1" thickBot="1">
      <c r="A30" s="696"/>
      <c r="B30" s="689" t="s">
        <v>90</v>
      </c>
      <c r="C30" s="690"/>
      <c r="D30" s="690"/>
      <c r="E30" s="690"/>
      <c r="F30" s="58">
        <f>SUM(F22:F29)</f>
        <v>0</v>
      </c>
      <c r="G30" s="43"/>
      <c r="H30" s="696"/>
      <c r="I30" s="689" t="s">
        <v>90</v>
      </c>
      <c r="J30" s="690"/>
      <c r="K30" s="690"/>
      <c r="L30" s="690"/>
      <c r="M30" s="58">
        <f>SUM(M22:M29)</f>
        <v>0</v>
      </c>
    </row>
    <row r="31" spans="1:13" ht="30" customHeight="1">
      <c r="A31" s="684" t="s">
        <v>108</v>
      </c>
      <c r="B31" s="49" t="s">
        <v>113</v>
      </c>
      <c r="C31" s="50"/>
      <c r="D31" s="50"/>
      <c r="E31" s="51"/>
      <c r="F31" s="60">
        <f>E31</f>
        <v>0</v>
      </c>
      <c r="G31" s="43"/>
      <c r="H31" s="684" t="s">
        <v>108</v>
      </c>
      <c r="I31" s="49" t="s">
        <v>113</v>
      </c>
      <c r="J31" s="50"/>
      <c r="K31" s="50"/>
      <c r="L31" s="51"/>
      <c r="M31" s="60">
        <f>L31</f>
        <v>0</v>
      </c>
    </row>
    <row r="32" spans="1:13" ht="30" customHeight="1">
      <c r="A32" s="685"/>
      <c r="B32" s="687" t="s">
        <v>112</v>
      </c>
      <c r="C32" s="54"/>
      <c r="D32" s="54"/>
      <c r="E32" s="55"/>
      <c r="F32" s="59">
        <f t="shared" ref="F32:F33" si="12">IFERROR(ROUND(C32/D32*E32,1),0)</f>
        <v>0</v>
      </c>
      <c r="G32" s="43"/>
      <c r="H32" s="685"/>
      <c r="I32" s="687" t="s">
        <v>112</v>
      </c>
      <c r="J32" s="54"/>
      <c r="K32" s="54"/>
      <c r="L32" s="55"/>
      <c r="M32" s="59">
        <f t="shared" ref="M32:M33" si="13">IFERROR(ROUND(J32/K32*L32,1),0)</f>
        <v>0</v>
      </c>
    </row>
    <row r="33" spans="1:13" ht="30" customHeight="1">
      <c r="A33" s="685"/>
      <c r="B33" s="688"/>
      <c r="C33" s="54"/>
      <c r="D33" s="54"/>
      <c r="E33" s="55"/>
      <c r="F33" s="59">
        <f t="shared" si="12"/>
        <v>0</v>
      </c>
      <c r="G33" s="43"/>
      <c r="H33" s="685"/>
      <c r="I33" s="688"/>
      <c r="J33" s="54"/>
      <c r="K33" s="54"/>
      <c r="L33" s="55"/>
      <c r="M33" s="59">
        <f t="shared" si="13"/>
        <v>0</v>
      </c>
    </row>
    <row r="34" spans="1:13" ht="30" customHeight="1">
      <c r="A34" s="685"/>
      <c r="B34" s="688"/>
      <c r="C34" s="54"/>
      <c r="D34" s="54"/>
      <c r="E34" s="55"/>
      <c r="F34" s="59">
        <f>IFERROR(ROUND(C34/D34*E34,1),0)</f>
        <v>0</v>
      </c>
      <c r="G34" s="43"/>
      <c r="H34" s="685"/>
      <c r="I34" s="688"/>
      <c r="J34" s="54"/>
      <c r="K34" s="54"/>
      <c r="L34" s="55"/>
      <c r="M34" s="59">
        <f>IFERROR(ROUND(J34/K34*L34,1),0)</f>
        <v>0</v>
      </c>
    </row>
    <row r="35" spans="1:13" ht="30" customHeight="1">
      <c r="A35" s="685"/>
      <c r="B35" s="688"/>
      <c r="C35" s="54"/>
      <c r="D35" s="54"/>
      <c r="E35" s="55"/>
      <c r="F35" s="59">
        <f>IFERROR(ROUND(C35/D35*E35,1),0)</f>
        <v>0</v>
      </c>
      <c r="G35" s="43"/>
      <c r="H35" s="685"/>
      <c r="I35" s="688"/>
      <c r="J35" s="54"/>
      <c r="K35" s="54"/>
      <c r="L35" s="55"/>
      <c r="M35" s="59">
        <f>IFERROR(ROUND(J35/K35*L35,1),0)</f>
        <v>0</v>
      </c>
    </row>
    <row r="36" spans="1:13" ht="30" customHeight="1">
      <c r="A36" s="685"/>
      <c r="B36" s="688"/>
      <c r="C36" s="54"/>
      <c r="D36" s="54"/>
      <c r="E36" s="55"/>
      <c r="F36" s="59">
        <f t="shared" ref="F36:F38" si="14">IFERROR(ROUND(C36/D36*E36,1),0)</f>
        <v>0</v>
      </c>
      <c r="G36" s="43"/>
      <c r="H36" s="685"/>
      <c r="I36" s="688"/>
      <c r="J36" s="54"/>
      <c r="K36" s="54"/>
      <c r="L36" s="55"/>
      <c r="M36" s="59">
        <f t="shared" ref="M36:M38" si="15">IFERROR(ROUND(J36/K36*L36,1),0)</f>
        <v>0</v>
      </c>
    </row>
    <row r="37" spans="1:13" ht="30" customHeight="1">
      <c r="A37" s="685"/>
      <c r="B37" s="688"/>
      <c r="C37" s="54"/>
      <c r="D37" s="54"/>
      <c r="E37" s="55"/>
      <c r="F37" s="59">
        <f t="shared" si="14"/>
        <v>0</v>
      </c>
      <c r="G37" s="43"/>
      <c r="H37" s="685"/>
      <c r="I37" s="688"/>
      <c r="J37" s="54"/>
      <c r="K37" s="54"/>
      <c r="L37" s="55"/>
      <c r="M37" s="59">
        <f t="shared" si="15"/>
        <v>0</v>
      </c>
    </row>
    <row r="38" spans="1:13" ht="30" customHeight="1">
      <c r="A38" s="685"/>
      <c r="B38" s="688"/>
      <c r="C38" s="54"/>
      <c r="D38" s="54"/>
      <c r="E38" s="55"/>
      <c r="F38" s="59">
        <f t="shared" si="14"/>
        <v>0</v>
      </c>
      <c r="G38" s="43"/>
      <c r="H38" s="685"/>
      <c r="I38" s="688"/>
      <c r="J38" s="54"/>
      <c r="K38" s="54"/>
      <c r="L38" s="55"/>
      <c r="M38" s="59">
        <f t="shared" si="15"/>
        <v>0</v>
      </c>
    </row>
    <row r="39" spans="1:13" ht="30" customHeight="1" thickBot="1">
      <c r="A39" s="686"/>
      <c r="B39" s="689" t="s">
        <v>90</v>
      </c>
      <c r="C39" s="690"/>
      <c r="D39" s="690"/>
      <c r="E39" s="690"/>
      <c r="F39" s="58">
        <f>SUM(F31:F38)</f>
        <v>0</v>
      </c>
      <c r="G39" s="43"/>
      <c r="H39" s="686"/>
      <c r="I39" s="689" t="s">
        <v>90</v>
      </c>
      <c r="J39" s="690"/>
      <c r="K39" s="690"/>
      <c r="L39" s="690"/>
      <c r="M39" s="58">
        <f>SUM(M31:M38)</f>
        <v>0</v>
      </c>
    </row>
    <row r="40" spans="1:13">
      <c r="A40" s="43"/>
      <c r="B40" s="43"/>
      <c r="C40" s="56"/>
      <c r="D40" s="56"/>
      <c r="E40" s="56"/>
      <c r="F40" s="57"/>
      <c r="G40" s="43"/>
      <c r="H40" s="43"/>
      <c r="I40" s="43"/>
      <c r="J40" s="56"/>
      <c r="K40" s="56"/>
      <c r="L40" s="56"/>
      <c r="M40" s="57"/>
    </row>
    <row r="41" spans="1:13">
      <c r="A41" s="43"/>
      <c r="B41" s="43"/>
      <c r="C41" s="56"/>
      <c r="D41" s="56"/>
      <c r="E41" s="56"/>
      <c r="F41" s="57"/>
      <c r="G41" s="43"/>
      <c r="H41" s="43"/>
      <c r="I41" s="43"/>
      <c r="J41" s="56"/>
      <c r="K41" s="56"/>
      <c r="L41" s="56"/>
      <c r="M41" s="57"/>
    </row>
  </sheetData>
  <mergeCells count="27">
    <mergeCell ref="A1:M1"/>
    <mergeCell ref="H22:H30"/>
    <mergeCell ref="I23:I29"/>
    <mergeCell ref="I30:L30"/>
    <mergeCell ref="H31:H39"/>
    <mergeCell ref="I32:I38"/>
    <mergeCell ref="I39:L39"/>
    <mergeCell ref="H2:M2"/>
    <mergeCell ref="H4:H12"/>
    <mergeCell ref="I5:I11"/>
    <mergeCell ref="I12:L12"/>
    <mergeCell ref="H13:H21"/>
    <mergeCell ref="I14:I20"/>
    <mergeCell ref="I21:L21"/>
    <mergeCell ref="B23:B29"/>
    <mergeCell ref="B30:E30"/>
    <mergeCell ref="A31:A39"/>
    <mergeCell ref="B32:B38"/>
    <mergeCell ref="B39:E39"/>
    <mergeCell ref="A2:F2"/>
    <mergeCell ref="A4:A12"/>
    <mergeCell ref="B5:B11"/>
    <mergeCell ref="B12:E12"/>
    <mergeCell ref="A13:A21"/>
    <mergeCell ref="B14:B20"/>
    <mergeCell ref="B21:E21"/>
    <mergeCell ref="A22:A30"/>
  </mergeCells>
  <phoneticPr fontId="1"/>
  <conditionalFormatting sqref="E4:E11 C5:C11">
    <cfRule type="containsBlanks" dxfId="19" priority="18" stopIfTrue="1">
      <formula>LEN(TRIM(C4))=0</formula>
    </cfRule>
  </conditionalFormatting>
  <conditionalFormatting sqref="D5:D11">
    <cfRule type="containsBlanks" dxfId="18" priority="17" stopIfTrue="1">
      <formula>LEN(TRIM(D5))=0</formula>
    </cfRule>
  </conditionalFormatting>
  <conditionalFormatting sqref="E13:E20 C14:C20">
    <cfRule type="containsBlanks" dxfId="17" priority="16" stopIfTrue="1">
      <formula>LEN(TRIM(C13))=0</formula>
    </cfRule>
  </conditionalFormatting>
  <conditionalFormatting sqref="D14:D20">
    <cfRule type="containsBlanks" dxfId="16" priority="15" stopIfTrue="1">
      <formula>LEN(TRIM(D14))=0</formula>
    </cfRule>
  </conditionalFormatting>
  <conditionalFormatting sqref="E22:E29 C23:C29">
    <cfRule type="containsBlanks" dxfId="15" priority="14" stopIfTrue="1">
      <formula>LEN(TRIM(C22))=0</formula>
    </cfRule>
  </conditionalFormatting>
  <conditionalFormatting sqref="D23:D29">
    <cfRule type="containsBlanks" dxfId="14" priority="13" stopIfTrue="1">
      <formula>LEN(TRIM(D23))=0</formula>
    </cfRule>
  </conditionalFormatting>
  <conditionalFormatting sqref="E31:E38 C32:C38">
    <cfRule type="containsBlanks" dxfId="13" priority="12" stopIfTrue="1">
      <formula>LEN(TRIM(C31))=0</formula>
    </cfRule>
  </conditionalFormatting>
  <conditionalFormatting sqref="D32:D38">
    <cfRule type="containsBlanks" dxfId="12" priority="11" stopIfTrue="1">
      <formula>LEN(TRIM(D32))=0</formula>
    </cfRule>
  </conditionalFormatting>
  <conditionalFormatting sqref="L4:L11 J5:J11">
    <cfRule type="containsBlanks" dxfId="11" priority="8" stopIfTrue="1">
      <formula>LEN(TRIM(J4))=0</formula>
    </cfRule>
  </conditionalFormatting>
  <conditionalFormatting sqref="K5:K11">
    <cfRule type="containsBlanks" dxfId="10" priority="7" stopIfTrue="1">
      <formula>LEN(TRIM(K5))=0</formula>
    </cfRule>
  </conditionalFormatting>
  <conditionalFormatting sqref="L13:L20 J14:J20">
    <cfRule type="containsBlanks" dxfId="9" priority="6" stopIfTrue="1">
      <formula>LEN(TRIM(J13))=0</formula>
    </cfRule>
  </conditionalFormatting>
  <conditionalFormatting sqref="K14:K20">
    <cfRule type="containsBlanks" dxfId="8" priority="5" stopIfTrue="1">
      <formula>LEN(TRIM(K14))=0</formula>
    </cfRule>
  </conditionalFormatting>
  <conditionalFormatting sqref="L22:L29 J23:J29">
    <cfRule type="containsBlanks" dxfId="7" priority="4" stopIfTrue="1">
      <formula>LEN(TRIM(J22))=0</formula>
    </cfRule>
  </conditionalFormatting>
  <conditionalFormatting sqref="K23:K29">
    <cfRule type="containsBlanks" dxfId="6" priority="3" stopIfTrue="1">
      <formula>LEN(TRIM(K23))=0</formula>
    </cfRule>
  </conditionalFormatting>
  <conditionalFormatting sqref="L31:L38 J32:J38">
    <cfRule type="containsBlanks" dxfId="5" priority="2" stopIfTrue="1">
      <formula>LEN(TRIM(J31))=0</formula>
    </cfRule>
  </conditionalFormatting>
  <conditionalFormatting sqref="K32:K38">
    <cfRule type="containsBlanks" dxfId="4" priority="1" stopIfTrue="1">
      <formula>LEN(TRIM(K32))=0</formula>
    </cfRule>
  </conditionalFormatting>
  <dataValidations count="2">
    <dataValidation allowBlank="1" showInputMessage="1" showErrorMessage="1" promptTitle="計算式入力済" prompt="計算式が入力されていますので、記入しないでください" sqref="F4:F39 M4:M39" xr:uid="{E1469F07-74E4-4077-9917-A04EF437F45D}"/>
    <dataValidation imeMode="off" allowBlank="1" showInputMessage="1" showErrorMessage="1" sqref="C4:E11 C13:E20 C22:E29 C31:E38 J4:L11 J13:L20 J22:L29 J31:L38" xr:uid="{839A6A1B-EED5-47F9-91AF-54FB412398E3}"/>
  </dataValidations>
  <pageMargins left="0.78740157480314965" right="0.39370078740157483" top="0.19685039370078741" bottom="0.19685039370078741" header="0.31496062992125984" footer="0.31496062992125984"/>
  <pageSetup paperSize="9" scale="60" fitToHeight="3"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C1ADD-9CA7-4F3E-BD57-03007428D995}">
  <dimension ref="B1:O49"/>
  <sheetViews>
    <sheetView topLeftCell="A7" workbookViewId="0">
      <selection activeCell="I27" sqref="I27"/>
    </sheetView>
  </sheetViews>
  <sheetFormatPr defaultRowHeight="18"/>
  <cols>
    <col min="4" max="4" width="9" style="172"/>
    <col min="5" max="5" width="12.83203125" customWidth="1"/>
    <col min="6" max="6" width="10.5" customWidth="1"/>
    <col min="7" max="7" width="19.58203125" customWidth="1"/>
    <col min="8" max="8" width="22.08203125" customWidth="1"/>
    <col min="9" max="9" width="17" customWidth="1"/>
  </cols>
  <sheetData>
    <row r="1" spans="2:8">
      <c r="B1" s="172" t="s">
        <v>407</v>
      </c>
    </row>
    <row r="2" spans="2:8">
      <c r="B2" s="210" t="s">
        <v>405</v>
      </c>
      <c r="C2" s="210" t="s">
        <v>403</v>
      </c>
      <c r="D2" s="221" t="s">
        <v>445</v>
      </c>
      <c r="E2" s="210" t="s">
        <v>404</v>
      </c>
      <c r="F2" s="210" t="s">
        <v>406</v>
      </c>
      <c r="G2" s="210" t="s">
        <v>428</v>
      </c>
      <c r="H2" s="210" t="s">
        <v>430</v>
      </c>
    </row>
    <row r="3" spans="2:8">
      <c r="B3" s="207" t="s">
        <v>408</v>
      </c>
      <c r="C3" s="207" t="s">
        <v>420</v>
      </c>
      <c r="D3" s="207" t="s">
        <v>440</v>
      </c>
      <c r="E3" s="207" t="s">
        <v>424</v>
      </c>
      <c r="F3" s="207" t="s">
        <v>425</v>
      </c>
      <c r="G3" s="207" t="s">
        <v>433</v>
      </c>
      <c r="H3" s="208" t="s">
        <v>283</v>
      </c>
    </row>
    <row r="4" spans="2:8">
      <c r="B4" s="207" t="s">
        <v>409</v>
      </c>
      <c r="C4" s="207" t="s">
        <v>421</v>
      </c>
      <c r="D4" s="207" t="s">
        <v>14</v>
      </c>
      <c r="E4" s="207" t="s">
        <v>399</v>
      </c>
      <c r="F4" s="207" t="s">
        <v>426</v>
      </c>
      <c r="G4" s="207" t="s">
        <v>429</v>
      </c>
      <c r="H4" s="208" t="s">
        <v>253</v>
      </c>
    </row>
    <row r="5" spans="2:8">
      <c r="B5" s="207" t="s">
        <v>410</v>
      </c>
      <c r="C5" s="207" t="s">
        <v>422</v>
      </c>
      <c r="D5" s="207" t="s">
        <v>15</v>
      </c>
      <c r="E5" s="212"/>
      <c r="F5" s="212"/>
      <c r="G5" s="207" t="s">
        <v>438</v>
      </c>
      <c r="H5" s="209" t="s">
        <v>284</v>
      </c>
    </row>
    <row r="6" spans="2:8">
      <c r="B6" s="207" t="s">
        <v>411</v>
      </c>
      <c r="C6" s="207" t="s">
        <v>423</v>
      </c>
      <c r="D6" s="207" t="s">
        <v>16</v>
      </c>
      <c r="E6" s="1"/>
      <c r="F6" s="1"/>
      <c r="G6" s="207" t="s">
        <v>439</v>
      </c>
      <c r="H6" s="208" t="s">
        <v>285</v>
      </c>
    </row>
    <row r="7" spans="2:8">
      <c r="B7" s="207" t="s">
        <v>412</v>
      </c>
      <c r="C7" s="211"/>
      <c r="D7" s="222" t="s">
        <v>17</v>
      </c>
      <c r="E7" s="1"/>
      <c r="F7" s="1"/>
      <c r="G7" s="214"/>
      <c r="H7" s="208" t="s">
        <v>254</v>
      </c>
    </row>
    <row r="8" spans="2:8">
      <c r="B8" s="207" t="s">
        <v>413</v>
      </c>
      <c r="C8" s="213"/>
      <c r="D8" s="222" t="s">
        <v>18</v>
      </c>
      <c r="E8" s="1"/>
      <c r="F8" s="1"/>
      <c r="G8" s="214"/>
      <c r="H8" s="208" t="s">
        <v>286</v>
      </c>
    </row>
    <row r="9" spans="2:8">
      <c r="B9" s="207" t="s">
        <v>414</v>
      </c>
      <c r="C9" s="213"/>
      <c r="D9" s="1"/>
      <c r="E9" s="1"/>
      <c r="F9" s="1"/>
      <c r="G9" s="214"/>
      <c r="H9" s="208" t="s">
        <v>441</v>
      </c>
    </row>
    <row r="10" spans="2:8">
      <c r="B10" s="207" t="s">
        <v>415</v>
      </c>
      <c r="C10" s="213"/>
      <c r="D10" s="1"/>
      <c r="E10" s="1"/>
      <c r="F10" s="1"/>
      <c r="G10" s="214"/>
      <c r="H10" s="208" t="s">
        <v>255</v>
      </c>
    </row>
    <row r="11" spans="2:8">
      <c r="B11" s="207" t="s">
        <v>416</v>
      </c>
      <c r="C11" s="213"/>
      <c r="D11" s="1"/>
      <c r="E11" s="1"/>
      <c r="F11" s="1"/>
      <c r="G11" s="214"/>
      <c r="H11" s="208" t="s">
        <v>427</v>
      </c>
    </row>
    <row r="12" spans="2:8">
      <c r="B12" s="207" t="s">
        <v>417</v>
      </c>
      <c r="C12" s="213"/>
      <c r="D12" s="1"/>
      <c r="E12" s="1"/>
      <c r="F12" s="1"/>
      <c r="G12" s="214"/>
      <c r="H12" s="207" t="s">
        <v>532</v>
      </c>
    </row>
    <row r="13" spans="2:8">
      <c r="B13" s="207" t="s">
        <v>418</v>
      </c>
      <c r="C13" s="1"/>
      <c r="D13" s="1"/>
      <c r="E13" s="1"/>
      <c r="F13" s="1"/>
      <c r="G13" s="1"/>
      <c r="H13" s="205"/>
    </row>
    <row r="14" spans="2:8">
      <c r="B14" s="207" t="s">
        <v>419</v>
      </c>
      <c r="C14" s="1"/>
      <c r="D14" s="1"/>
      <c r="E14" s="1"/>
      <c r="F14" s="1"/>
      <c r="G14" s="1"/>
      <c r="H14" s="205"/>
    </row>
    <row r="15" spans="2:8">
      <c r="B15" s="212"/>
      <c r="C15" s="1"/>
      <c r="D15" s="1"/>
      <c r="E15" s="1"/>
      <c r="F15" s="1"/>
      <c r="G15" s="1"/>
      <c r="H15" s="1"/>
    </row>
    <row r="16" spans="2:8">
      <c r="B16" s="1"/>
      <c r="C16" s="1"/>
      <c r="D16" s="1"/>
      <c r="E16" s="1"/>
      <c r="F16" s="1"/>
      <c r="G16" s="1"/>
      <c r="H16" s="1"/>
    </row>
    <row r="17" spans="2:15">
      <c r="B17" s="210" t="s">
        <v>452</v>
      </c>
      <c r="C17" s="210" t="s">
        <v>403</v>
      </c>
      <c r="D17" s="221" t="s">
        <v>449</v>
      </c>
      <c r="E17" s="210" t="s">
        <v>404</v>
      </c>
      <c r="F17" s="210" t="s">
        <v>447</v>
      </c>
      <c r="G17" s="210" t="s">
        <v>457</v>
      </c>
      <c r="H17" s="210" t="s">
        <v>448</v>
      </c>
      <c r="I17" s="210" t="s">
        <v>430</v>
      </c>
    </row>
    <row r="18" spans="2:15">
      <c r="B18" s="207" t="s">
        <v>408</v>
      </c>
      <c r="C18" s="207" t="s">
        <v>420</v>
      </c>
      <c r="D18" s="207" t="s">
        <v>440</v>
      </c>
      <c r="E18" s="215" t="s">
        <v>424</v>
      </c>
      <c r="F18" s="207" t="s">
        <v>453</v>
      </c>
      <c r="G18" s="226" t="s">
        <v>459</v>
      </c>
      <c r="H18" s="234" t="s">
        <v>204</v>
      </c>
      <c r="I18" s="208" t="s">
        <v>283</v>
      </c>
      <c r="J18" s="22"/>
      <c r="K18" s="22"/>
      <c r="L18" s="22"/>
      <c r="M18" s="22"/>
      <c r="N18" s="22"/>
      <c r="O18" s="22"/>
    </row>
    <row r="19" spans="2:15">
      <c r="B19" s="207" t="s">
        <v>409</v>
      </c>
      <c r="C19" s="207" t="s">
        <v>421</v>
      </c>
      <c r="D19" s="207" t="s">
        <v>14</v>
      </c>
      <c r="E19" s="215" t="s">
        <v>399</v>
      </c>
      <c r="F19" s="207" t="s">
        <v>454</v>
      </c>
      <c r="G19" s="226" t="s">
        <v>460</v>
      </c>
      <c r="H19" s="234" t="s">
        <v>205</v>
      </c>
      <c r="I19" s="208" t="s">
        <v>253</v>
      </c>
      <c r="J19" s="22"/>
      <c r="K19" s="22"/>
      <c r="L19" s="22"/>
      <c r="M19" s="22"/>
      <c r="N19" s="22"/>
      <c r="O19" s="22"/>
    </row>
    <row r="20" spans="2:15">
      <c r="B20" s="207" t="s">
        <v>410</v>
      </c>
      <c r="C20" s="207" t="s">
        <v>422</v>
      </c>
      <c r="D20" s="207" t="s">
        <v>15</v>
      </c>
      <c r="E20" s="212"/>
      <c r="F20" s="207" t="s">
        <v>446</v>
      </c>
      <c r="G20" s="216"/>
      <c r="H20" s="234" t="s">
        <v>213</v>
      </c>
      <c r="I20" s="209" t="s">
        <v>284</v>
      </c>
      <c r="J20" s="22"/>
      <c r="K20" s="22"/>
      <c r="L20" s="22"/>
      <c r="M20" s="22"/>
      <c r="N20" s="22"/>
      <c r="O20" s="22"/>
    </row>
    <row r="21" spans="2:15">
      <c r="B21" s="207" t="s">
        <v>411</v>
      </c>
      <c r="C21" s="207" t="s">
        <v>423</v>
      </c>
      <c r="D21" s="207" t="s">
        <v>16</v>
      </c>
      <c r="E21" s="1"/>
      <c r="F21" s="207" t="s">
        <v>97</v>
      </c>
      <c r="G21" s="217"/>
      <c r="H21" s="234" t="s">
        <v>214</v>
      </c>
      <c r="I21" s="208" t="s">
        <v>285</v>
      </c>
      <c r="J21" s="22"/>
      <c r="K21" s="22"/>
      <c r="L21" s="22"/>
      <c r="M21" s="22"/>
      <c r="N21" s="22"/>
      <c r="O21" s="22"/>
    </row>
    <row r="22" spans="2:15">
      <c r="B22" s="207" t="s">
        <v>412</v>
      </c>
      <c r="C22" s="211"/>
      <c r="D22" s="222" t="s">
        <v>17</v>
      </c>
      <c r="E22" s="1"/>
      <c r="F22" s="222" t="s">
        <v>98</v>
      </c>
      <c r="G22" s="214"/>
      <c r="H22" s="234" t="s">
        <v>215</v>
      </c>
      <c r="I22" s="208" t="s">
        <v>254</v>
      </c>
      <c r="J22" s="22"/>
      <c r="K22" s="22"/>
      <c r="L22" s="22"/>
      <c r="M22" s="22"/>
      <c r="N22" s="22"/>
      <c r="O22" s="22"/>
    </row>
    <row r="23" spans="2:15">
      <c r="B23" s="207" t="s">
        <v>413</v>
      </c>
      <c r="C23" s="213"/>
      <c r="D23" s="222" t="s">
        <v>18</v>
      </c>
      <c r="E23" s="1"/>
      <c r="F23" s="222" t="s">
        <v>12</v>
      </c>
      <c r="G23" s="214"/>
      <c r="H23" s="233" t="s">
        <v>216</v>
      </c>
      <c r="I23" s="208" t="s">
        <v>286</v>
      </c>
      <c r="J23" s="239"/>
      <c r="K23" s="239"/>
      <c r="L23" s="239"/>
      <c r="M23" s="239"/>
      <c r="N23" s="239"/>
      <c r="O23" s="239"/>
    </row>
    <row r="24" spans="2:15">
      <c r="B24" s="207" t="s">
        <v>414</v>
      </c>
      <c r="C24" s="213"/>
      <c r="D24" s="1"/>
      <c r="E24" s="1"/>
      <c r="F24" s="222" t="s">
        <v>13</v>
      </c>
      <c r="G24" s="214"/>
      <c r="H24" s="234" t="s">
        <v>217</v>
      </c>
      <c r="I24" s="208" t="s">
        <v>441</v>
      </c>
      <c r="J24" s="22"/>
      <c r="K24" s="22"/>
      <c r="L24" s="22"/>
      <c r="M24" s="22"/>
      <c r="N24" s="22"/>
      <c r="O24" s="22"/>
    </row>
    <row r="25" spans="2:15">
      <c r="B25" s="207" t="s">
        <v>415</v>
      </c>
      <c r="C25" s="213"/>
      <c r="D25" s="1"/>
      <c r="E25" s="1"/>
      <c r="F25" s="1"/>
      <c r="G25" s="214"/>
      <c r="H25" s="233" t="s">
        <v>218</v>
      </c>
      <c r="I25" s="208" t="s">
        <v>255</v>
      </c>
      <c r="J25" s="239"/>
      <c r="K25" s="239"/>
      <c r="L25" s="239"/>
      <c r="M25" s="239"/>
      <c r="N25" s="239"/>
      <c r="O25" s="239"/>
    </row>
    <row r="26" spans="2:15">
      <c r="B26" s="207" t="s">
        <v>416</v>
      </c>
      <c r="C26" s="213"/>
      <c r="D26" s="1"/>
      <c r="E26" s="1"/>
      <c r="F26" s="1"/>
      <c r="G26" s="214"/>
      <c r="H26" s="233" t="s">
        <v>219</v>
      </c>
      <c r="I26" s="208" t="s">
        <v>427</v>
      </c>
      <c r="J26" s="239"/>
      <c r="K26" s="239"/>
      <c r="L26" s="239"/>
      <c r="M26" s="239"/>
      <c r="N26" s="239"/>
      <c r="O26" s="239"/>
    </row>
    <row r="27" spans="2:15">
      <c r="B27" s="207" t="s">
        <v>417</v>
      </c>
      <c r="C27" s="213"/>
      <c r="D27" s="1"/>
      <c r="E27" s="1"/>
      <c r="F27" s="1"/>
      <c r="G27" s="214"/>
      <c r="H27" s="233" t="s">
        <v>221</v>
      </c>
      <c r="I27" s="303" t="s">
        <v>532</v>
      </c>
      <c r="J27" s="239"/>
      <c r="K27" s="239"/>
      <c r="L27" s="239"/>
      <c r="M27" s="239"/>
      <c r="N27" s="239"/>
      <c r="O27" s="239"/>
    </row>
    <row r="28" spans="2:15">
      <c r="B28" s="207" t="s">
        <v>418</v>
      </c>
      <c r="C28" s="1"/>
      <c r="D28" s="1"/>
      <c r="E28" s="1"/>
      <c r="F28" s="1"/>
      <c r="G28" s="1"/>
      <c r="H28" s="233" t="s">
        <v>220</v>
      </c>
      <c r="I28" s="238"/>
      <c r="J28" s="239"/>
      <c r="K28" s="239"/>
      <c r="L28" s="239"/>
      <c r="M28" s="239"/>
      <c r="N28" s="239"/>
      <c r="O28" s="239"/>
    </row>
    <row r="29" spans="2:15">
      <c r="B29" s="207" t="s">
        <v>419</v>
      </c>
      <c r="C29" s="1"/>
      <c r="D29" s="1"/>
      <c r="E29" s="1"/>
      <c r="F29" s="1"/>
      <c r="G29" s="1"/>
      <c r="H29" s="233" t="s">
        <v>222</v>
      </c>
      <c r="I29" s="238"/>
      <c r="J29" s="239"/>
      <c r="K29" s="239"/>
      <c r="L29" s="239"/>
      <c r="M29" s="239"/>
      <c r="N29" s="239"/>
      <c r="O29" s="239"/>
    </row>
    <row r="30" spans="2:15">
      <c r="H30" s="234" t="s">
        <v>223</v>
      </c>
      <c r="I30" s="237"/>
      <c r="J30" s="22"/>
      <c r="K30" s="22"/>
      <c r="L30" s="22"/>
      <c r="M30" s="22"/>
      <c r="N30" s="22"/>
      <c r="O30" s="22"/>
    </row>
    <row r="31" spans="2:15">
      <c r="H31" s="235" t="s">
        <v>515</v>
      </c>
      <c r="I31" s="240"/>
      <c r="J31" s="241"/>
      <c r="K31" s="241"/>
      <c r="L31" s="241"/>
      <c r="M31" s="241"/>
      <c r="N31" s="241"/>
      <c r="O31" s="241"/>
    </row>
    <row r="32" spans="2:15">
      <c r="H32" s="235" t="s">
        <v>516</v>
      </c>
      <c r="I32" s="240"/>
      <c r="J32" s="241"/>
      <c r="K32" s="241"/>
      <c r="L32" s="241"/>
      <c r="M32" s="241"/>
      <c r="N32" s="241"/>
      <c r="O32" s="241"/>
    </row>
    <row r="33" spans="2:15">
      <c r="H33" s="234" t="s">
        <v>114</v>
      </c>
      <c r="I33" s="237"/>
      <c r="J33" s="22"/>
      <c r="K33" s="22"/>
      <c r="L33" s="22"/>
      <c r="M33" s="22"/>
      <c r="N33" s="22"/>
      <c r="O33" s="22"/>
    </row>
    <row r="34" spans="2:15">
      <c r="H34" s="236" t="s">
        <v>157</v>
      </c>
      <c r="I34" s="242"/>
      <c r="J34" s="157"/>
      <c r="K34" s="157"/>
      <c r="L34" s="157"/>
      <c r="M34" s="157"/>
      <c r="N34" s="157"/>
      <c r="O34" s="26"/>
    </row>
    <row r="35" spans="2:15">
      <c r="J35" s="243"/>
      <c r="K35" s="243"/>
      <c r="L35" s="243"/>
      <c r="M35" s="243"/>
      <c r="N35" s="243"/>
      <c r="O35" s="243"/>
    </row>
    <row r="37" spans="2:15">
      <c r="B37" s="305" t="s">
        <v>541</v>
      </c>
      <c r="C37" s="221" t="s">
        <v>543</v>
      </c>
    </row>
    <row r="38" spans="2:15" s="172" customFormat="1">
      <c r="B38" s="304" t="s">
        <v>542</v>
      </c>
      <c r="C38" s="207">
        <v>1</v>
      </c>
    </row>
    <row r="39" spans="2:15">
      <c r="B39" s="215" t="s">
        <v>539</v>
      </c>
      <c r="C39" s="207">
        <v>2</v>
      </c>
    </row>
    <row r="40" spans="2:15">
      <c r="B40" s="215" t="s">
        <v>540</v>
      </c>
      <c r="C40" s="207">
        <v>3</v>
      </c>
    </row>
    <row r="41" spans="2:15">
      <c r="C41" s="207">
        <v>4</v>
      </c>
    </row>
    <row r="42" spans="2:15">
      <c r="C42" s="207">
        <v>5</v>
      </c>
    </row>
    <row r="43" spans="2:15">
      <c r="C43" s="207">
        <v>6</v>
      </c>
    </row>
    <row r="44" spans="2:15">
      <c r="C44" s="207">
        <v>7</v>
      </c>
    </row>
    <row r="45" spans="2:15">
      <c r="C45" s="207">
        <v>8</v>
      </c>
    </row>
    <row r="46" spans="2:15">
      <c r="C46" s="207">
        <v>9</v>
      </c>
    </row>
    <row r="47" spans="2:15">
      <c r="C47" s="207">
        <v>10</v>
      </c>
    </row>
    <row r="48" spans="2:15">
      <c r="C48" s="207">
        <v>11</v>
      </c>
    </row>
    <row r="49" spans="3:3">
      <c r="C49" s="207">
        <v>12</v>
      </c>
    </row>
  </sheetData>
  <phoneticPr fontId="1"/>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EE43B4-C72C-4DD8-9237-AACA3D3D3866}">
  <dimension ref="A1:ABB14"/>
  <sheetViews>
    <sheetView workbookViewId="0">
      <pane xSplit="1" ySplit="5" topLeftCell="B6" activePane="bottomRight" state="frozen"/>
      <selection pane="topRight" activeCell="B1" sqref="B1"/>
      <selection pane="bottomLeft" activeCell="A6" sqref="A6"/>
      <selection pane="bottomRight" activeCell="A6" sqref="A6"/>
    </sheetView>
  </sheetViews>
  <sheetFormatPr defaultRowHeight="18"/>
  <cols>
    <col min="1" max="1" width="14.75" style="3" customWidth="1"/>
    <col min="3" max="6" width="14.75" style="3" customWidth="1"/>
    <col min="7" max="252" width="5.08203125" style="3" customWidth="1"/>
    <col min="253" max="373" width="5.08203125" customWidth="1"/>
    <col min="374" max="388" width="5.08203125" style="3" customWidth="1"/>
    <col min="389" max="509" width="5.08203125" style="172" customWidth="1"/>
    <col min="510" max="524" width="5.08203125" style="3" customWidth="1"/>
    <col min="525" max="645" width="5.08203125" style="172" customWidth="1"/>
    <col min="646" max="646" width="15.58203125" style="172" customWidth="1"/>
    <col min="647" max="672" width="4.58203125" style="172" customWidth="1"/>
    <col min="673" max="674" width="4.58203125" customWidth="1"/>
    <col min="675" max="730" width="4.58203125" style="172" customWidth="1"/>
  </cols>
  <sheetData>
    <row r="1" spans="1:730" ht="45.65" customHeight="1"/>
    <row r="2" spans="1:730">
      <c r="A2" s="743" t="s">
        <v>209</v>
      </c>
      <c r="B2" s="744"/>
      <c r="C2" s="744"/>
      <c r="D2" s="744"/>
      <c r="E2" s="744"/>
      <c r="F2" s="745"/>
      <c r="G2" s="752" t="s">
        <v>91</v>
      </c>
      <c r="H2" s="753"/>
      <c r="I2" s="753"/>
      <c r="J2" s="753"/>
      <c r="K2" s="753"/>
      <c r="L2" s="753"/>
      <c r="M2" s="753"/>
      <c r="N2" s="753"/>
      <c r="O2" s="753"/>
      <c r="P2" s="753"/>
      <c r="Q2" s="753"/>
      <c r="R2" s="754"/>
      <c r="S2" s="749" t="s">
        <v>100</v>
      </c>
      <c r="T2" s="750"/>
      <c r="U2" s="750"/>
      <c r="V2" s="750"/>
      <c r="W2" s="750"/>
      <c r="X2" s="750"/>
      <c r="Y2" s="750"/>
      <c r="Z2" s="750"/>
      <c r="AA2" s="750"/>
      <c r="AB2" s="750"/>
      <c r="AC2" s="750"/>
      <c r="AD2" s="751"/>
      <c r="AE2" s="738" t="s">
        <v>103</v>
      </c>
      <c r="AF2" s="739"/>
      <c r="AG2" s="739"/>
      <c r="AH2" s="739"/>
      <c r="AI2" s="739"/>
      <c r="AJ2" s="739"/>
      <c r="AK2" s="739"/>
      <c r="AL2" s="739"/>
      <c r="AM2" s="739"/>
      <c r="AN2" s="739"/>
      <c r="AO2" s="739"/>
      <c r="AP2" s="740"/>
      <c r="AQ2" s="738" t="s">
        <v>244</v>
      </c>
      <c r="AR2" s="739"/>
      <c r="AS2" s="739"/>
      <c r="AT2" s="739"/>
      <c r="AU2" s="739"/>
      <c r="AV2" s="740"/>
      <c r="AW2" s="735" t="s">
        <v>559</v>
      </c>
      <c r="AX2" s="705" t="s">
        <v>496</v>
      </c>
      <c r="AY2" s="706"/>
      <c r="AZ2" s="706"/>
      <c r="BA2" s="706"/>
      <c r="BB2" s="706"/>
      <c r="BC2" s="706"/>
      <c r="BD2" s="706"/>
      <c r="BE2" s="706"/>
      <c r="BF2" s="706"/>
      <c r="BG2" s="706"/>
      <c r="BH2" s="706"/>
      <c r="BI2" s="706"/>
      <c r="BJ2" s="706"/>
      <c r="BK2" s="706"/>
      <c r="BL2" s="707"/>
      <c r="BM2" s="702" t="s">
        <v>480</v>
      </c>
      <c r="BN2" s="703"/>
      <c r="BO2" s="704"/>
      <c r="BP2" s="705" t="s">
        <v>497</v>
      </c>
      <c r="BQ2" s="706"/>
      <c r="BR2" s="706"/>
      <c r="BS2" s="706"/>
      <c r="BT2" s="706"/>
      <c r="BU2" s="706"/>
      <c r="BV2" s="706"/>
      <c r="BW2" s="706"/>
      <c r="BX2" s="706"/>
      <c r="BY2" s="706"/>
      <c r="BZ2" s="706"/>
      <c r="CA2" s="706"/>
      <c r="CB2" s="706"/>
      <c r="CC2" s="706"/>
      <c r="CD2" s="707"/>
      <c r="CE2" s="705" t="s">
        <v>498</v>
      </c>
      <c r="CF2" s="706"/>
      <c r="CG2" s="706"/>
      <c r="CH2" s="706"/>
      <c r="CI2" s="706"/>
      <c r="CJ2" s="706"/>
      <c r="CK2" s="706"/>
      <c r="CL2" s="706"/>
      <c r="CM2" s="706"/>
      <c r="CN2" s="706"/>
      <c r="CO2" s="706"/>
      <c r="CP2" s="706"/>
      <c r="CQ2" s="706"/>
      <c r="CR2" s="706"/>
      <c r="CS2" s="706"/>
      <c r="CT2" s="706"/>
      <c r="CU2" s="706"/>
      <c r="CV2" s="706"/>
      <c r="CW2" s="706"/>
      <c r="CX2" s="706"/>
      <c r="CY2" s="706"/>
      <c r="CZ2" s="706"/>
      <c r="DA2" s="706"/>
      <c r="DB2" s="706"/>
      <c r="DC2" s="706"/>
      <c r="DD2" s="706"/>
      <c r="DE2" s="706"/>
      <c r="DF2" s="706"/>
      <c r="DG2" s="706"/>
      <c r="DH2" s="707"/>
      <c r="DI2" s="705" t="s">
        <v>503</v>
      </c>
      <c r="DJ2" s="706"/>
      <c r="DK2" s="706"/>
      <c r="DL2" s="706"/>
      <c r="DM2" s="706"/>
      <c r="DN2" s="706"/>
      <c r="DO2" s="706"/>
      <c r="DP2" s="706"/>
      <c r="DQ2" s="706"/>
      <c r="DR2" s="706"/>
      <c r="DS2" s="706"/>
      <c r="DT2" s="706"/>
      <c r="DU2" s="706"/>
      <c r="DV2" s="706"/>
      <c r="DW2" s="706"/>
      <c r="DX2" s="706"/>
      <c r="DY2" s="706"/>
      <c r="DZ2" s="706"/>
      <c r="EA2" s="706"/>
      <c r="EB2" s="706"/>
      <c r="EC2" s="706"/>
      <c r="ED2" s="706"/>
      <c r="EE2" s="706"/>
      <c r="EF2" s="706"/>
      <c r="EG2" s="706"/>
      <c r="EH2" s="706"/>
      <c r="EI2" s="706"/>
      <c r="EJ2" s="706"/>
      <c r="EK2" s="706"/>
      <c r="EL2" s="707"/>
      <c r="EM2" s="705" t="s">
        <v>202</v>
      </c>
      <c r="EN2" s="706"/>
      <c r="EO2" s="706"/>
      <c r="EP2" s="706"/>
      <c r="EQ2" s="706"/>
      <c r="ER2" s="706"/>
      <c r="ES2" s="706"/>
      <c r="ET2" s="706"/>
      <c r="EU2" s="706"/>
      <c r="EV2" s="706"/>
      <c r="EW2" s="706"/>
      <c r="EX2" s="706"/>
      <c r="EY2" s="706"/>
      <c r="EZ2" s="706"/>
      <c r="FA2" s="706"/>
      <c r="FB2" s="706"/>
      <c r="FC2" s="706"/>
      <c r="FD2" s="706"/>
      <c r="FE2" s="706"/>
      <c r="FF2" s="706"/>
      <c r="FG2" s="707"/>
      <c r="FH2" s="702" t="s">
        <v>510</v>
      </c>
      <c r="FI2" s="704"/>
      <c r="FJ2" s="705" t="s">
        <v>93</v>
      </c>
      <c r="FK2" s="706"/>
      <c r="FL2" s="706"/>
      <c r="FM2" s="706"/>
      <c r="FN2" s="706"/>
      <c r="FO2" s="706"/>
      <c r="FP2" s="706"/>
      <c r="FQ2" s="706"/>
      <c r="FR2" s="706"/>
      <c r="FS2" s="706"/>
      <c r="FT2" s="706"/>
      <c r="FU2" s="706"/>
      <c r="FV2" s="706"/>
      <c r="FW2" s="706"/>
      <c r="FX2" s="706"/>
      <c r="FY2" s="706"/>
      <c r="FZ2" s="706"/>
      <c r="GA2" s="706"/>
      <c r="GB2" s="706"/>
      <c r="GC2" s="706"/>
      <c r="GD2" s="706"/>
      <c r="GE2" s="706"/>
      <c r="GF2" s="706"/>
      <c r="GG2" s="706"/>
      <c r="GH2" s="706"/>
      <c r="GI2" s="706"/>
      <c r="GJ2" s="706"/>
      <c r="GK2" s="706"/>
      <c r="GL2" s="706"/>
      <c r="GM2" s="707"/>
      <c r="GN2" s="705" t="s">
        <v>94</v>
      </c>
      <c r="GO2" s="706"/>
      <c r="GP2" s="706"/>
      <c r="GQ2" s="706"/>
      <c r="GR2" s="706"/>
      <c r="GS2" s="706"/>
      <c r="GT2" s="706"/>
      <c r="GU2" s="706"/>
      <c r="GV2" s="706"/>
      <c r="GW2" s="706"/>
      <c r="GX2" s="706"/>
      <c r="GY2" s="706"/>
      <c r="GZ2" s="706"/>
      <c r="HA2" s="706"/>
      <c r="HB2" s="706"/>
      <c r="HC2" s="706"/>
      <c r="HD2" s="706"/>
      <c r="HE2" s="706"/>
      <c r="HF2" s="706"/>
      <c r="HG2" s="706"/>
      <c r="HH2" s="707"/>
      <c r="HI2" s="705" t="s">
        <v>38</v>
      </c>
      <c r="HJ2" s="706"/>
      <c r="HK2" s="706"/>
      <c r="HL2" s="706"/>
      <c r="HM2" s="706"/>
      <c r="HN2" s="706"/>
      <c r="HO2" s="706"/>
      <c r="HP2" s="706"/>
      <c r="HQ2" s="706"/>
      <c r="HR2" s="706"/>
      <c r="HS2" s="706"/>
      <c r="HT2" s="706"/>
      <c r="HU2" s="706"/>
      <c r="HV2" s="706"/>
      <c r="HW2" s="706"/>
      <c r="HX2" s="706"/>
      <c r="HY2" s="706"/>
      <c r="HZ2" s="706"/>
      <c r="IA2" s="706"/>
      <c r="IB2" s="706"/>
      <c r="IC2" s="707"/>
      <c r="ID2" s="705"/>
      <c r="IE2" s="706"/>
      <c r="IF2" s="706"/>
      <c r="IG2" s="706"/>
      <c r="IH2" s="706"/>
      <c r="II2" s="706"/>
      <c r="IJ2" s="706"/>
      <c r="IK2" s="706"/>
      <c r="IL2" s="706"/>
      <c r="IM2" s="706"/>
      <c r="IN2" s="706"/>
      <c r="IO2" s="706"/>
      <c r="IP2" s="706"/>
      <c r="IQ2" s="706"/>
      <c r="IR2" s="706"/>
      <c r="IS2" s="706"/>
      <c r="IT2" s="706"/>
      <c r="IU2" s="706"/>
      <c r="IV2" s="706"/>
      <c r="IW2" s="706"/>
      <c r="IX2" s="706"/>
      <c r="IY2" s="706"/>
      <c r="IZ2" s="706"/>
      <c r="JA2" s="706"/>
      <c r="JB2" s="706"/>
      <c r="JC2" s="706"/>
      <c r="JD2" s="706"/>
      <c r="JE2" s="706"/>
      <c r="JF2" s="706"/>
      <c r="JG2" s="706"/>
      <c r="JH2" s="706"/>
      <c r="JI2" s="706"/>
      <c r="JJ2" s="706"/>
      <c r="JK2" s="706"/>
      <c r="JL2" s="706"/>
      <c r="JM2" s="706"/>
      <c r="JN2" s="706"/>
      <c r="JO2" s="706"/>
      <c r="JP2" s="706"/>
      <c r="JQ2" s="706"/>
      <c r="JR2" s="706"/>
      <c r="JS2" s="706"/>
      <c r="JT2" s="706"/>
      <c r="JU2" s="706"/>
      <c r="JV2" s="706"/>
      <c r="JW2" s="706"/>
      <c r="JX2" s="706"/>
      <c r="JY2" s="706"/>
      <c r="JZ2" s="706"/>
      <c r="KA2" s="706"/>
      <c r="KB2" s="706"/>
      <c r="KC2" s="706"/>
      <c r="KD2" s="706"/>
      <c r="KE2" s="706"/>
      <c r="KF2" s="706"/>
      <c r="KG2" s="706"/>
      <c r="KH2" s="706"/>
      <c r="KI2" s="706"/>
      <c r="KJ2" s="706"/>
      <c r="KK2" s="706"/>
      <c r="KL2" s="706"/>
      <c r="KM2" s="706"/>
      <c r="KN2" s="706"/>
      <c r="KO2" s="706"/>
      <c r="KP2" s="706"/>
      <c r="KQ2" s="706"/>
      <c r="KR2" s="706"/>
      <c r="KS2" s="706"/>
      <c r="KT2" s="706"/>
      <c r="KU2" s="706"/>
      <c r="KV2" s="706"/>
      <c r="KW2" s="706"/>
      <c r="KX2" s="706"/>
      <c r="KY2" s="706"/>
      <c r="KZ2" s="706"/>
      <c r="LA2" s="706"/>
      <c r="LB2" s="706"/>
      <c r="LC2" s="706"/>
      <c r="LD2" s="706"/>
      <c r="LE2" s="706"/>
      <c r="LF2" s="706"/>
      <c r="LG2" s="706"/>
      <c r="LH2" s="706"/>
      <c r="LI2" s="706"/>
      <c r="LJ2" s="706"/>
      <c r="LK2" s="706"/>
      <c r="LL2" s="706"/>
      <c r="LM2" s="706"/>
      <c r="LN2" s="706"/>
      <c r="LO2" s="706"/>
      <c r="LP2" s="706"/>
      <c r="LQ2" s="706"/>
      <c r="LR2" s="706"/>
      <c r="LS2" s="706"/>
      <c r="LT2" s="706"/>
      <c r="LU2" s="706"/>
      <c r="LV2" s="706"/>
      <c r="LW2" s="706"/>
      <c r="LX2" s="706"/>
      <c r="LY2" s="706"/>
      <c r="LZ2" s="706"/>
      <c r="MA2" s="706"/>
      <c r="MB2" s="706"/>
      <c r="MC2" s="706"/>
      <c r="MD2" s="706"/>
      <c r="ME2" s="706"/>
      <c r="MF2" s="706"/>
      <c r="MG2" s="706"/>
      <c r="MH2" s="706"/>
      <c r="MI2" s="706"/>
      <c r="MJ2" s="706"/>
      <c r="MK2" s="706"/>
      <c r="ML2" s="706"/>
      <c r="MM2" s="706"/>
      <c r="MN2" s="706"/>
      <c r="MO2" s="706"/>
      <c r="MP2" s="706"/>
      <c r="MQ2" s="706"/>
      <c r="MR2" s="706"/>
      <c r="MS2" s="706"/>
      <c r="MT2" s="706"/>
      <c r="MU2" s="706"/>
      <c r="MV2" s="706"/>
      <c r="MW2" s="706"/>
      <c r="MX2" s="706"/>
      <c r="MY2" s="706"/>
      <c r="MZ2" s="706"/>
      <c r="NA2" s="706"/>
      <c r="NB2" s="706"/>
      <c r="NC2" s="706"/>
      <c r="ND2" s="706"/>
      <c r="NE2" s="706"/>
      <c r="NF2" s="706"/>
      <c r="NG2" s="706"/>
      <c r="NH2" s="706"/>
      <c r="NI2" s="706"/>
      <c r="NJ2" s="705"/>
      <c r="NK2" s="706"/>
      <c r="NL2" s="706"/>
      <c r="NM2" s="706"/>
      <c r="NN2" s="706"/>
      <c r="NO2" s="706"/>
      <c r="NP2" s="706"/>
      <c r="NQ2" s="706"/>
      <c r="NR2" s="706"/>
      <c r="NS2" s="706"/>
      <c r="NT2" s="706"/>
      <c r="NU2" s="706"/>
      <c r="NV2" s="706"/>
      <c r="NW2" s="706"/>
      <c r="NX2" s="706"/>
      <c r="NY2" s="706"/>
      <c r="NZ2" s="706"/>
      <c r="OA2" s="706"/>
      <c r="OB2" s="706"/>
      <c r="OC2" s="706"/>
      <c r="OD2" s="706"/>
      <c r="OE2" s="706"/>
      <c r="OF2" s="706"/>
      <c r="OG2" s="706"/>
      <c r="OH2" s="706"/>
      <c r="OI2" s="706"/>
      <c r="OJ2" s="706"/>
      <c r="OK2" s="706"/>
      <c r="OL2" s="706"/>
      <c r="OM2" s="706"/>
      <c r="ON2" s="706"/>
      <c r="OO2" s="706"/>
      <c r="OP2" s="706"/>
      <c r="OQ2" s="706"/>
      <c r="OR2" s="706"/>
      <c r="OS2" s="706"/>
      <c r="OT2" s="706"/>
      <c r="OU2" s="706"/>
      <c r="OV2" s="706"/>
      <c r="OW2" s="706"/>
      <c r="OX2" s="706"/>
      <c r="OY2" s="706"/>
      <c r="OZ2" s="706"/>
      <c r="PA2" s="706"/>
      <c r="PB2" s="706"/>
      <c r="PC2" s="706"/>
      <c r="PD2" s="706"/>
      <c r="PE2" s="706"/>
      <c r="PF2" s="706"/>
      <c r="PG2" s="706"/>
      <c r="PH2" s="706"/>
      <c r="PI2" s="706"/>
      <c r="PJ2" s="706"/>
      <c r="PK2" s="706"/>
      <c r="PL2" s="706"/>
      <c r="PM2" s="706"/>
      <c r="PN2" s="706"/>
      <c r="PO2" s="706"/>
      <c r="PP2" s="706"/>
      <c r="PQ2" s="706"/>
      <c r="PR2" s="706"/>
      <c r="PS2" s="706"/>
      <c r="PT2" s="706"/>
      <c r="PU2" s="706"/>
      <c r="PV2" s="706"/>
      <c r="PW2" s="706"/>
      <c r="PX2" s="706"/>
      <c r="PY2" s="706"/>
      <c r="PZ2" s="706"/>
      <c r="QA2" s="706"/>
      <c r="QB2" s="706"/>
      <c r="QC2" s="706"/>
      <c r="QD2" s="706"/>
      <c r="QE2" s="706"/>
      <c r="QF2" s="706"/>
      <c r="QG2" s="706"/>
      <c r="QH2" s="706"/>
      <c r="QI2" s="706"/>
      <c r="QJ2" s="706"/>
      <c r="QK2" s="706"/>
      <c r="QL2" s="706"/>
      <c r="QM2" s="706"/>
      <c r="QN2" s="706"/>
      <c r="QO2" s="706"/>
      <c r="QP2" s="706"/>
      <c r="QQ2" s="706"/>
      <c r="QR2" s="706"/>
      <c r="QS2" s="706"/>
      <c r="QT2" s="706"/>
      <c r="QU2" s="706"/>
      <c r="QV2" s="706"/>
      <c r="QW2" s="706"/>
      <c r="QX2" s="706"/>
      <c r="QY2" s="706"/>
      <c r="QZ2" s="706"/>
      <c r="RA2" s="706"/>
      <c r="RB2" s="706"/>
      <c r="RC2" s="706"/>
      <c r="RD2" s="706"/>
      <c r="RE2" s="706"/>
      <c r="RF2" s="706"/>
      <c r="RG2" s="706"/>
      <c r="RH2" s="706"/>
      <c r="RI2" s="706"/>
      <c r="RJ2" s="706"/>
      <c r="RK2" s="706"/>
      <c r="RL2" s="706"/>
      <c r="RM2" s="706"/>
      <c r="RN2" s="706"/>
      <c r="RO2" s="706"/>
      <c r="RP2" s="706"/>
      <c r="RQ2" s="706"/>
      <c r="RR2" s="706"/>
      <c r="RS2" s="706"/>
      <c r="RT2" s="706"/>
      <c r="RU2" s="706"/>
      <c r="RV2" s="706"/>
      <c r="RW2" s="706"/>
      <c r="RX2" s="706"/>
      <c r="RY2" s="706"/>
      <c r="RZ2" s="706"/>
      <c r="SA2" s="706"/>
      <c r="SB2" s="706"/>
      <c r="SC2" s="706"/>
      <c r="SD2" s="706"/>
      <c r="SE2" s="706"/>
      <c r="SF2" s="706"/>
      <c r="SG2" s="706"/>
      <c r="SH2" s="706"/>
      <c r="SI2" s="706"/>
      <c r="SJ2" s="706"/>
      <c r="SK2" s="706"/>
      <c r="SL2" s="706"/>
      <c r="SM2" s="706"/>
      <c r="SN2" s="706"/>
      <c r="SO2" s="706"/>
      <c r="SP2" s="705"/>
      <c r="SQ2" s="706"/>
      <c r="SR2" s="706"/>
      <c r="SS2" s="706"/>
      <c r="ST2" s="706"/>
      <c r="SU2" s="706"/>
      <c r="SV2" s="706"/>
      <c r="SW2" s="706"/>
      <c r="SX2" s="706"/>
      <c r="SY2" s="706"/>
      <c r="SZ2" s="706"/>
      <c r="TA2" s="706"/>
      <c r="TB2" s="706"/>
      <c r="TC2" s="706"/>
      <c r="TD2" s="706"/>
      <c r="TE2" s="706"/>
      <c r="TF2" s="706"/>
      <c r="TG2" s="706"/>
      <c r="TH2" s="706"/>
      <c r="TI2" s="706"/>
      <c r="TJ2" s="706"/>
      <c r="TK2" s="706"/>
      <c r="TL2" s="706"/>
      <c r="TM2" s="706"/>
      <c r="TN2" s="706"/>
      <c r="TO2" s="706"/>
      <c r="TP2" s="706"/>
      <c r="TQ2" s="706"/>
      <c r="TR2" s="706"/>
      <c r="TS2" s="706"/>
      <c r="TT2" s="706"/>
      <c r="TU2" s="706"/>
      <c r="TV2" s="706"/>
      <c r="TW2" s="706"/>
      <c r="TX2" s="706"/>
      <c r="TY2" s="706"/>
      <c r="TZ2" s="706"/>
      <c r="UA2" s="706"/>
      <c r="UB2" s="706"/>
      <c r="UC2" s="706"/>
      <c r="UD2" s="706"/>
      <c r="UE2" s="706"/>
      <c r="UF2" s="706"/>
      <c r="UG2" s="706"/>
      <c r="UH2" s="706"/>
      <c r="UI2" s="706"/>
      <c r="UJ2" s="706"/>
      <c r="UK2" s="706"/>
      <c r="UL2" s="706"/>
      <c r="UM2" s="706"/>
      <c r="UN2" s="706"/>
      <c r="UO2" s="706"/>
      <c r="UP2" s="706"/>
      <c r="UQ2" s="706"/>
      <c r="UR2" s="706"/>
      <c r="US2" s="706"/>
      <c r="UT2" s="706"/>
      <c r="UU2" s="706"/>
      <c r="UV2" s="706"/>
      <c r="UW2" s="706"/>
      <c r="UX2" s="706"/>
      <c r="UY2" s="706"/>
      <c r="UZ2" s="706"/>
      <c r="VA2" s="706"/>
      <c r="VB2" s="706"/>
      <c r="VC2" s="706"/>
      <c r="VD2" s="706"/>
      <c r="VE2" s="706"/>
      <c r="VF2" s="706"/>
      <c r="VG2" s="706"/>
      <c r="VH2" s="706"/>
      <c r="VI2" s="706"/>
      <c r="VJ2" s="706"/>
      <c r="VK2" s="706"/>
      <c r="VL2" s="706"/>
      <c r="VM2" s="706"/>
      <c r="VN2" s="706"/>
      <c r="VO2" s="706"/>
      <c r="VP2" s="706"/>
      <c r="VQ2" s="706"/>
      <c r="VR2" s="706"/>
      <c r="VS2" s="706"/>
      <c r="VT2" s="706"/>
      <c r="VU2" s="706"/>
      <c r="VV2" s="706"/>
      <c r="VW2" s="706"/>
      <c r="VX2" s="706"/>
      <c r="VY2" s="706"/>
      <c r="VZ2" s="706"/>
      <c r="WA2" s="706"/>
      <c r="WB2" s="706"/>
      <c r="WC2" s="706"/>
      <c r="WD2" s="706"/>
      <c r="WE2" s="706"/>
      <c r="WF2" s="706"/>
      <c r="WG2" s="706"/>
      <c r="WH2" s="706"/>
      <c r="WI2" s="706"/>
      <c r="WJ2" s="706"/>
      <c r="WK2" s="706"/>
      <c r="WL2" s="706"/>
      <c r="WM2" s="706"/>
      <c r="WN2" s="706"/>
      <c r="WO2" s="706"/>
      <c r="WP2" s="706"/>
      <c r="WQ2" s="706"/>
      <c r="WR2" s="706"/>
      <c r="WS2" s="706"/>
      <c r="WT2" s="706"/>
      <c r="WU2" s="706"/>
      <c r="WV2" s="706"/>
      <c r="WW2" s="706"/>
      <c r="WX2" s="706"/>
      <c r="WY2" s="706"/>
      <c r="WZ2" s="706"/>
      <c r="XA2" s="706"/>
      <c r="XB2" s="706"/>
      <c r="XC2" s="706"/>
      <c r="XD2" s="706"/>
      <c r="XE2" s="706"/>
      <c r="XF2" s="706"/>
      <c r="XG2" s="706"/>
      <c r="XH2" s="706"/>
      <c r="XI2" s="706"/>
      <c r="XJ2" s="706"/>
      <c r="XK2" s="706"/>
      <c r="XL2" s="706"/>
      <c r="XM2" s="706"/>
      <c r="XN2" s="706"/>
      <c r="XO2" s="706"/>
      <c r="XP2" s="706"/>
      <c r="XQ2" s="706"/>
      <c r="XR2" s="706"/>
      <c r="XS2" s="706"/>
      <c r="XT2" s="706"/>
      <c r="XU2" s="706"/>
      <c r="XV2" s="706"/>
      <c r="XW2" s="705" t="s">
        <v>279</v>
      </c>
      <c r="XX2" s="706"/>
      <c r="XY2" s="706"/>
      <c r="XZ2" s="706"/>
      <c r="YA2" s="706"/>
      <c r="YB2" s="706"/>
      <c r="YC2" s="706"/>
      <c r="YD2" s="706"/>
      <c r="YE2" s="706"/>
      <c r="YF2" s="706"/>
      <c r="YG2" s="706"/>
      <c r="YH2" s="706"/>
      <c r="YI2" s="706"/>
      <c r="YJ2" s="706"/>
      <c r="YK2" s="706"/>
      <c r="YL2" s="706"/>
      <c r="YM2" s="706"/>
      <c r="YN2" s="706"/>
      <c r="YO2" s="706"/>
      <c r="YP2" s="706"/>
      <c r="YQ2" s="706"/>
      <c r="YR2" s="706"/>
      <c r="YS2" s="706"/>
      <c r="YT2" s="706"/>
      <c r="YU2" s="706"/>
      <c r="YV2" s="706"/>
      <c r="YW2" s="706"/>
      <c r="YX2" s="706"/>
      <c r="YY2" s="706"/>
      <c r="YZ2" s="706"/>
      <c r="ZA2" s="706"/>
      <c r="ZB2" s="706"/>
      <c r="ZC2" s="706"/>
      <c r="ZD2" s="706"/>
      <c r="ZE2" s="706"/>
      <c r="ZF2" s="706"/>
      <c r="ZG2" s="706"/>
      <c r="ZH2" s="706"/>
      <c r="ZI2" s="706"/>
      <c r="ZJ2" s="706"/>
      <c r="ZK2" s="706"/>
      <c r="ZL2" s="706"/>
      <c r="ZM2" s="706"/>
      <c r="ZN2" s="706"/>
      <c r="ZO2" s="706"/>
      <c r="ZP2" s="706"/>
      <c r="ZQ2" s="706"/>
      <c r="ZR2" s="706"/>
      <c r="ZS2" s="706"/>
      <c r="ZT2" s="706"/>
      <c r="ZU2" s="706"/>
      <c r="ZV2" s="706"/>
      <c r="ZW2" s="706"/>
      <c r="ZX2" s="706"/>
      <c r="ZY2" s="706"/>
      <c r="ZZ2" s="706"/>
      <c r="AAA2" s="706"/>
      <c r="AAB2" s="706"/>
      <c r="AAC2" s="706"/>
      <c r="AAD2" s="706"/>
      <c r="AAE2" s="706"/>
      <c r="AAF2" s="706"/>
      <c r="AAG2" s="706"/>
      <c r="AAH2" s="706"/>
      <c r="AAI2" s="706"/>
      <c r="AAJ2" s="706"/>
      <c r="AAK2" s="706"/>
      <c r="AAL2" s="706"/>
      <c r="AAM2" s="706"/>
      <c r="AAN2" s="706"/>
      <c r="AAO2" s="706"/>
      <c r="AAP2" s="706"/>
      <c r="AAQ2" s="706"/>
      <c r="AAR2" s="706"/>
      <c r="AAS2" s="706"/>
      <c r="AAT2" s="706"/>
      <c r="AAU2" s="706"/>
      <c r="AAV2" s="706"/>
      <c r="AAW2" s="706"/>
      <c r="AAX2" s="706"/>
      <c r="AAY2" s="706"/>
      <c r="AAZ2" s="706"/>
      <c r="ABA2" s="706"/>
      <c r="ABB2" s="707"/>
    </row>
    <row r="3" spans="1:730">
      <c r="A3" s="743"/>
      <c r="B3" s="744"/>
      <c r="C3" s="744"/>
      <c r="D3" s="744"/>
      <c r="E3" s="744"/>
      <c r="F3" s="745"/>
      <c r="G3" s="717" t="s">
        <v>9</v>
      </c>
      <c r="H3" s="718"/>
      <c r="I3" s="718"/>
      <c r="J3" s="718"/>
      <c r="K3" s="718"/>
      <c r="L3" s="719"/>
      <c r="M3" s="717" t="s">
        <v>31</v>
      </c>
      <c r="N3" s="718"/>
      <c r="O3" s="718"/>
      <c r="P3" s="718"/>
      <c r="Q3" s="718"/>
      <c r="R3" s="719"/>
      <c r="S3" s="708" t="s">
        <v>9</v>
      </c>
      <c r="T3" s="709"/>
      <c r="U3" s="709"/>
      <c r="V3" s="709"/>
      <c r="W3" s="709"/>
      <c r="X3" s="710"/>
      <c r="Y3" s="708" t="s">
        <v>31</v>
      </c>
      <c r="Z3" s="709"/>
      <c r="AA3" s="709"/>
      <c r="AB3" s="709"/>
      <c r="AC3" s="709"/>
      <c r="AD3" s="710"/>
      <c r="AE3" s="702" t="s">
        <v>9</v>
      </c>
      <c r="AF3" s="703"/>
      <c r="AG3" s="703"/>
      <c r="AH3" s="703"/>
      <c r="AI3" s="703"/>
      <c r="AJ3" s="704"/>
      <c r="AK3" s="702" t="s">
        <v>31</v>
      </c>
      <c r="AL3" s="703"/>
      <c r="AM3" s="703"/>
      <c r="AN3" s="703"/>
      <c r="AO3" s="703"/>
      <c r="AP3" s="704"/>
      <c r="AQ3" s="702" t="s">
        <v>245</v>
      </c>
      <c r="AR3" s="703"/>
      <c r="AS3" s="703"/>
      <c r="AT3" s="703"/>
      <c r="AU3" s="703"/>
      <c r="AV3" s="704"/>
      <c r="AW3" s="736"/>
      <c r="AX3" s="717" t="s">
        <v>477</v>
      </c>
      <c r="AY3" s="718"/>
      <c r="AZ3" s="718"/>
      <c r="BA3" s="718"/>
      <c r="BB3" s="719"/>
      <c r="BC3" s="708" t="s">
        <v>478</v>
      </c>
      <c r="BD3" s="709"/>
      <c r="BE3" s="709"/>
      <c r="BF3" s="709"/>
      <c r="BG3" s="710"/>
      <c r="BH3" s="702" t="s">
        <v>479</v>
      </c>
      <c r="BI3" s="703"/>
      <c r="BJ3" s="703"/>
      <c r="BK3" s="703"/>
      <c r="BL3" s="704"/>
      <c r="BM3" s="741"/>
      <c r="BN3" s="755"/>
      <c r="BO3" s="742"/>
      <c r="BP3" s="718" t="s">
        <v>484</v>
      </c>
      <c r="BQ3" s="718"/>
      <c r="BR3" s="718"/>
      <c r="BS3" s="718"/>
      <c r="BT3" s="718"/>
      <c r="BU3" s="708" t="s">
        <v>485</v>
      </c>
      <c r="BV3" s="709"/>
      <c r="BW3" s="709"/>
      <c r="BX3" s="709"/>
      <c r="BY3" s="709"/>
      <c r="BZ3" s="702" t="s">
        <v>499</v>
      </c>
      <c r="CA3" s="703"/>
      <c r="CB3" s="703"/>
      <c r="CC3" s="703"/>
      <c r="CD3" s="703"/>
      <c r="CE3" s="717" t="s">
        <v>486</v>
      </c>
      <c r="CF3" s="718"/>
      <c r="CG3" s="718"/>
      <c r="CH3" s="718"/>
      <c r="CI3" s="718"/>
      <c r="CJ3" s="718"/>
      <c r="CK3" s="718"/>
      <c r="CL3" s="718"/>
      <c r="CM3" s="718"/>
      <c r="CN3" s="718"/>
      <c r="CO3" s="708" t="s">
        <v>487</v>
      </c>
      <c r="CP3" s="709"/>
      <c r="CQ3" s="709"/>
      <c r="CR3" s="709"/>
      <c r="CS3" s="709"/>
      <c r="CT3" s="709"/>
      <c r="CU3" s="709"/>
      <c r="CV3" s="709"/>
      <c r="CW3" s="709"/>
      <c r="CX3" s="710"/>
      <c r="CY3" s="702" t="s">
        <v>495</v>
      </c>
      <c r="CZ3" s="703"/>
      <c r="DA3" s="703"/>
      <c r="DB3" s="703"/>
      <c r="DC3" s="703"/>
      <c r="DD3" s="703"/>
      <c r="DE3" s="703"/>
      <c r="DF3" s="703"/>
      <c r="DG3" s="703"/>
      <c r="DH3" s="703"/>
      <c r="DI3" s="717" t="s">
        <v>504</v>
      </c>
      <c r="DJ3" s="718"/>
      <c r="DK3" s="718"/>
      <c r="DL3" s="718"/>
      <c r="DM3" s="718"/>
      <c r="DN3" s="718"/>
      <c r="DO3" s="718"/>
      <c r="DP3" s="718"/>
      <c r="DQ3" s="718"/>
      <c r="DR3" s="718"/>
      <c r="DS3" s="708" t="s">
        <v>505</v>
      </c>
      <c r="DT3" s="709"/>
      <c r="DU3" s="709"/>
      <c r="DV3" s="709"/>
      <c r="DW3" s="709"/>
      <c r="DX3" s="709"/>
      <c r="DY3" s="709"/>
      <c r="DZ3" s="709"/>
      <c r="EA3" s="709"/>
      <c r="EB3" s="709"/>
      <c r="EC3" s="702" t="s">
        <v>506</v>
      </c>
      <c r="ED3" s="703"/>
      <c r="EE3" s="703"/>
      <c r="EF3" s="703"/>
      <c r="EG3" s="703"/>
      <c r="EH3" s="703"/>
      <c r="EI3" s="703"/>
      <c r="EJ3" s="703"/>
      <c r="EK3" s="703"/>
      <c r="EL3" s="703"/>
      <c r="EM3" s="717" t="s">
        <v>500</v>
      </c>
      <c r="EN3" s="718"/>
      <c r="EO3" s="718"/>
      <c r="EP3" s="718"/>
      <c r="EQ3" s="718"/>
      <c r="ER3" s="718"/>
      <c r="ES3" s="719"/>
      <c r="ET3" s="708" t="s">
        <v>501</v>
      </c>
      <c r="EU3" s="709"/>
      <c r="EV3" s="709"/>
      <c r="EW3" s="709"/>
      <c r="EX3" s="709"/>
      <c r="EY3" s="709"/>
      <c r="EZ3" s="710"/>
      <c r="FA3" s="702" t="s">
        <v>502</v>
      </c>
      <c r="FB3" s="703"/>
      <c r="FC3" s="703"/>
      <c r="FD3" s="703"/>
      <c r="FE3" s="703"/>
      <c r="FF3" s="703"/>
      <c r="FG3" s="704"/>
      <c r="FH3" s="741"/>
      <c r="FI3" s="742"/>
      <c r="FJ3" s="730" t="s">
        <v>508</v>
      </c>
      <c r="FK3" s="723"/>
      <c r="FL3" s="723"/>
      <c r="FM3" s="723"/>
      <c r="FN3" s="723"/>
      <c r="FO3" s="723"/>
      <c r="FP3" s="723"/>
      <c r="FQ3" s="723"/>
      <c r="FR3" s="723"/>
      <c r="FS3" s="723"/>
      <c r="FT3" s="729" t="s">
        <v>507</v>
      </c>
      <c r="FU3" s="720"/>
      <c r="FV3" s="720"/>
      <c r="FW3" s="720"/>
      <c r="FX3" s="720"/>
      <c r="FY3" s="720"/>
      <c r="FZ3" s="720"/>
      <c r="GA3" s="720"/>
      <c r="GB3" s="720"/>
      <c r="GC3" s="720"/>
      <c r="GD3" s="726" t="s">
        <v>509</v>
      </c>
      <c r="GE3" s="721"/>
      <c r="GF3" s="721"/>
      <c r="GG3" s="721"/>
      <c r="GH3" s="721"/>
      <c r="GI3" s="721"/>
      <c r="GJ3" s="721"/>
      <c r="GK3" s="721"/>
      <c r="GL3" s="721"/>
      <c r="GM3" s="721"/>
      <c r="GN3" s="717" t="s">
        <v>517</v>
      </c>
      <c r="GO3" s="718"/>
      <c r="GP3" s="718"/>
      <c r="GQ3" s="718"/>
      <c r="GR3" s="718"/>
      <c r="GS3" s="718"/>
      <c r="GT3" s="719"/>
      <c r="GU3" s="708" t="s">
        <v>518</v>
      </c>
      <c r="GV3" s="709"/>
      <c r="GW3" s="709"/>
      <c r="GX3" s="709"/>
      <c r="GY3" s="709"/>
      <c r="GZ3" s="709"/>
      <c r="HA3" s="710"/>
      <c r="HB3" s="702" t="s">
        <v>519</v>
      </c>
      <c r="HC3" s="703"/>
      <c r="HD3" s="703"/>
      <c r="HE3" s="703"/>
      <c r="HF3" s="703"/>
      <c r="HG3" s="703"/>
      <c r="HH3" s="704"/>
      <c r="HI3" s="717" t="s">
        <v>520</v>
      </c>
      <c r="HJ3" s="718"/>
      <c r="HK3" s="718"/>
      <c r="HL3" s="718"/>
      <c r="HM3" s="718"/>
      <c r="HN3" s="718"/>
      <c r="HO3" s="719"/>
      <c r="HP3" s="708" t="s">
        <v>521</v>
      </c>
      <c r="HQ3" s="709"/>
      <c r="HR3" s="709"/>
      <c r="HS3" s="709"/>
      <c r="HT3" s="709"/>
      <c r="HU3" s="709"/>
      <c r="HV3" s="710"/>
      <c r="HW3" s="702" t="s">
        <v>522</v>
      </c>
      <c r="HX3" s="703"/>
      <c r="HY3" s="703"/>
      <c r="HZ3" s="703"/>
      <c r="IA3" s="703"/>
      <c r="IB3" s="703"/>
      <c r="IC3" s="704"/>
      <c r="ID3" s="731" t="s">
        <v>523</v>
      </c>
      <c r="IE3" s="731"/>
      <c r="IF3" s="731"/>
      <c r="IG3" s="731"/>
      <c r="IH3" s="731"/>
      <c r="II3" s="731"/>
      <c r="IJ3" s="731"/>
      <c r="IK3" s="731"/>
      <c r="IL3" s="731"/>
      <c r="IM3" s="731"/>
      <c r="IN3" s="731"/>
      <c r="IO3" s="731"/>
      <c r="IP3" s="731"/>
      <c r="IQ3" s="731"/>
      <c r="IR3" s="731"/>
      <c r="IS3" s="731"/>
      <c r="IT3" s="731"/>
      <c r="IU3" s="731"/>
      <c r="IV3" s="731"/>
      <c r="IW3" s="731"/>
      <c r="IX3" s="731"/>
      <c r="IY3" s="731"/>
      <c r="IZ3" s="731"/>
      <c r="JA3" s="731"/>
      <c r="JB3" s="731"/>
      <c r="JC3" s="731"/>
      <c r="JD3" s="731"/>
      <c r="JE3" s="731"/>
      <c r="JF3" s="731"/>
      <c r="JG3" s="731"/>
      <c r="JH3" s="731"/>
      <c r="JI3" s="731"/>
      <c r="JJ3" s="731"/>
      <c r="JK3" s="731"/>
      <c r="JL3" s="731"/>
      <c r="JM3" s="731"/>
      <c r="JN3" s="731"/>
      <c r="JO3" s="731"/>
      <c r="JP3" s="731"/>
      <c r="JQ3" s="731"/>
      <c r="JR3" s="731"/>
      <c r="JS3" s="731"/>
      <c r="JT3" s="731"/>
      <c r="JU3" s="731"/>
      <c r="JV3" s="731"/>
      <c r="JW3" s="731"/>
      <c r="JX3" s="731"/>
      <c r="JY3" s="731"/>
      <c r="JZ3" s="731"/>
      <c r="KA3" s="731"/>
      <c r="KB3" s="731"/>
      <c r="KC3" s="731"/>
      <c r="KD3" s="731"/>
      <c r="KE3" s="731"/>
      <c r="KF3" s="731"/>
      <c r="KG3" s="731"/>
      <c r="KH3" s="731"/>
      <c r="KI3" s="731"/>
      <c r="KJ3" s="731"/>
      <c r="KK3" s="731"/>
      <c r="KL3" s="731"/>
      <c r="KM3" s="731"/>
      <c r="KN3" s="731"/>
      <c r="KO3" s="731"/>
      <c r="KP3" s="731"/>
      <c r="KQ3" s="731"/>
      <c r="KR3" s="731"/>
      <c r="KS3" s="731"/>
      <c r="KT3" s="731"/>
      <c r="KU3" s="731"/>
      <c r="KV3" s="731"/>
      <c r="KW3" s="731"/>
      <c r="KX3" s="731"/>
      <c r="KY3" s="731"/>
      <c r="KZ3" s="731"/>
      <c r="LA3" s="731"/>
      <c r="LB3" s="731"/>
      <c r="LC3" s="731"/>
      <c r="LD3" s="731"/>
      <c r="LE3" s="731"/>
      <c r="LF3" s="731"/>
      <c r="LG3" s="731"/>
      <c r="LH3" s="731"/>
      <c r="LI3" s="731"/>
      <c r="LJ3" s="731"/>
      <c r="LK3" s="731"/>
      <c r="LL3" s="731"/>
      <c r="LM3" s="731"/>
      <c r="LN3" s="731"/>
      <c r="LO3" s="731"/>
      <c r="LP3" s="731"/>
      <c r="LQ3" s="731"/>
      <c r="LR3" s="731"/>
      <c r="LS3" s="731"/>
      <c r="LT3" s="731"/>
      <c r="LU3" s="731"/>
      <c r="LV3" s="731"/>
      <c r="LW3" s="731"/>
      <c r="LX3" s="731"/>
      <c r="LY3" s="731"/>
      <c r="LZ3" s="731"/>
      <c r="MA3" s="731"/>
      <c r="MB3" s="731"/>
      <c r="MC3" s="731"/>
      <c r="MD3" s="731"/>
      <c r="ME3" s="731"/>
      <c r="MF3" s="731"/>
      <c r="MG3" s="731"/>
      <c r="MH3" s="731"/>
      <c r="MI3" s="731"/>
      <c r="MJ3" s="731"/>
      <c r="MK3" s="731"/>
      <c r="ML3" s="731"/>
      <c r="MM3" s="731"/>
      <c r="MN3" s="731"/>
      <c r="MO3" s="731"/>
      <c r="MP3" s="731"/>
      <c r="MQ3" s="731"/>
      <c r="MR3" s="731"/>
      <c r="MS3" s="731"/>
      <c r="MT3" s="731"/>
      <c r="MU3" s="731"/>
      <c r="MV3" s="731"/>
      <c r="MW3" s="731"/>
      <c r="MX3" s="731"/>
      <c r="MY3" s="731"/>
      <c r="MZ3" s="731"/>
      <c r="NA3" s="731"/>
      <c r="NB3" s="731"/>
      <c r="NC3" s="731"/>
      <c r="ND3" s="731"/>
      <c r="NE3" s="731"/>
      <c r="NF3" s="731"/>
      <c r="NG3" s="731"/>
      <c r="NH3" s="731"/>
      <c r="NI3" s="731"/>
      <c r="NJ3" s="722" t="s">
        <v>524</v>
      </c>
      <c r="NK3" s="722"/>
      <c r="NL3" s="722"/>
      <c r="NM3" s="722"/>
      <c r="NN3" s="722"/>
      <c r="NO3" s="722"/>
      <c r="NP3" s="722"/>
      <c r="NQ3" s="722"/>
      <c r="NR3" s="722"/>
      <c r="NS3" s="722"/>
      <c r="NT3" s="722"/>
      <c r="NU3" s="722"/>
      <c r="NV3" s="722"/>
      <c r="NW3" s="722"/>
      <c r="NX3" s="722"/>
      <c r="NY3" s="722"/>
      <c r="NZ3" s="722"/>
      <c r="OA3" s="722"/>
      <c r="OB3" s="722"/>
      <c r="OC3" s="722"/>
      <c r="OD3" s="722"/>
      <c r="OE3" s="722"/>
      <c r="OF3" s="722"/>
      <c r="OG3" s="722"/>
      <c r="OH3" s="722"/>
      <c r="OI3" s="722"/>
      <c r="OJ3" s="722"/>
      <c r="OK3" s="722"/>
      <c r="OL3" s="722"/>
      <c r="OM3" s="722"/>
      <c r="ON3" s="722"/>
      <c r="OO3" s="722"/>
      <c r="OP3" s="722"/>
      <c r="OQ3" s="722"/>
      <c r="OR3" s="722"/>
      <c r="OS3" s="722"/>
      <c r="OT3" s="722"/>
      <c r="OU3" s="722"/>
      <c r="OV3" s="722"/>
      <c r="OW3" s="722"/>
      <c r="OX3" s="722"/>
      <c r="OY3" s="722"/>
      <c r="OZ3" s="722"/>
      <c r="PA3" s="722"/>
      <c r="PB3" s="722"/>
      <c r="PC3" s="722"/>
      <c r="PD3" s="722"/>
      <c r="PE3" s="722"/>
      <c r="PF3" s="722"/>
      <c r="PG3" s="722"/>
      <c r="PH3" s="722"/>
      <c r="PI3" s="722"/>
      <c r="PJ3" s="722"/>
      <c r="PK3" s="722"/>
      <c r="PL3" s="722"/>
      <c r="PM3" s="722"/>
      <c r="PN3" s="722"/>
      <c r="PO3" s="722"/>
      <c r="PP3" s="722"/>
      <c r="PQ3" s="722"/>
      <c r="PR3" s="722"/>
      <c r="PS3" s="722"/>
      <c r="PT3" s="722"/>
      <c r="PU3" s="722"/>
      <c r="PV3" s="722"/>
      <c r="PW3" s="722"/>
      <c r="PX3" s="722"/>
      <c r="PY3" s="722"/>
      <c r="PZ3" s="722"/>
      <c r="QA3" s="722"/>
      <c r="QB3" s="722"/>
      <c r="QC3" s="722"/>
      <c r="QD3" s="722"/>
      <c r="QE3" s="722"/>
      <c r="QF3" s="722"/>
      <c r="QG3" s="722"/>
      <c r="QH3" s="722"/>
      <c r="QI3" s="722"/>
      <c r="QJ3" s="722"/>
      <c r="QK3" s="722"/>
      <c r="QL3" s="722"/>
      <c r="QM3" s="722"/>
      <c r="QN3" s="722"/>
      <c r="QO3" s="722"/>
      <c r="QP3" s="722"/>
      <c r="QQ3" s="722"/>
      <c r="QR3" s="722"/>
      <c r="QS3" s="722"/>
      <c r="QT3" s="722"/>
      <c r="QU3" s="722"/>
      <c r="QV3" s="722"/>
      <c r="QW3" s="722"/>
      <c r="QX3" s="722"/>
      <c r="QY3" s="722"/>
      <c r="QZ3" s="722"/>
      <c r="RA3" s="722"/>
      <c r="RB3" s="722"/>
      <c r="RC3" s="722"/>
      <c r="RD3" s="722"/>
      <c r="RE3" s="722"/>
      <c r="RF3" s="722"/>
      <c r="RG3" s="722"/>
      <c r="RH3" s="722"/>
      <c r="RI3" s="722"/>
      <c r="RJ3" s="722"/>
      <c r="RK3" s="722"/>
      <c r="RL3" s="722"/>
      <c r="RM3" s="722"/>
      <c r="RN3" s="722"/>
      <c r="RO3" s="722"/>
      <c r="RP3" s="722"/>
      <c r="RQ3" s="722"/>
      <c r="RR3" s="722"/>
      <c r="RS3" s="722"/>
      <c r="RT3" s="722"/>
      <c r="RU3" s="722"/>
      <c r="RV3" s="722"/>
      <c r="RW3" s="722"/>
      <c r="RX3" s="722"/>
      <c r="RY3" s="722"/>
      <c r="RZ3" s="722"/>
      <c r="SA3" s="722"/>
      <c r="SB3" s="722"/>
      <c r="SC3" s="722"/>
      <c r="SD3" s="722"/>
      <c r="SE3" s="722"/>
      <c r="SF3" s="722"/>
      <c r="SG3" s="722"/>
      <c r="SH3" s="722"/>
      <c r="SI3" s="722"/>
      <c r="SJ3" s="722"/>
      <c r="SK3" s="722"/>
      <c r="SL3" s="722"/>
      <c r="SM3" s="722"/>
      <c r="SN3" s="722"/>
      <c r="SO3" s="722"/>
      <c r="SP3" s="705" t="s">
        <v>525</v>
      </c>
      <c r="SQ3" s="706"/>
      <c r="SR3" s="706"/>
      <c r="SS3" s="706"/>
      <c r="ST3" s="706"/>
      <c r="SU3" s="706"/>
      <c r="SV3" s="706"/>
      <c r="SW3" s="706"/>
      <c r="SX3" s="706"/>
      <c r="SY3" s="706"/>
      <c r="SZ3" s="706"/>
      <c r="TA3" s="706"/>
      <c r="TB3" s="706"/>
      <c r="TC3" s="706"/>
      <c r="TD3" s="706"/>
      <c r="TE3" s="706"/>
      <c r="TF3" s="706"/>
      <c r="TG3" s="706"/>
      <c r="TH3" s="706"/>
      <c r="TI3" s="706"/>
      <c r="TJ3" s="706"/>
      <c r="TK3" s="706"/>
      <c r="TL3" s="706"/>
      <c r="TM3" s="706"/>
      <c r="TN3" s="706"/>
      <c r="TO3" s="706"/>
      <c r="TP3" s="706"/>
      <c r="TQ3" s="706"/>
      <c r="TR3" s="706"/>
      <c r="TS3" s="706"/>
      <c r="TT3" s="706"/>
      <c r="TU3" s="706"/>
      <c r="TV3" s="706"/>
      <c r="TW3" s="706"/>
      <c r="TX3" s="706"/>
      <c r="TY3" s="706"/>
      <c r="TZ3" s="706"/>
      <c r="UA3" s="706"/>
      <c r="UB3" s="706"/>
      <c r="UC3" s="706"/>
      <c r="UD3" s="706"/>
      <c r="UE3" s="706"/>
      <c r="UF3" s="706"/>
      <c r="UG3" s="706"/>
      <c r="UH3" s="706"/>
      <c r="UI3" s="706"/>
      <c r="UJ3" s="706"/>
      <c r="UK3" s="706"/>
      <c r="UL3" s="706"/>
      <c r="UM3" s="706"/>
      <c r="UN3" s="706"/>
      <c r="UO3" s="706"/>
      <c r="UP3" s="706"/>
      <c r="UQ3" s="706"/>
      <c r="UR3" s="706"/>
      <c r="US3" s="706"/>
      <c r="UT3" s="706"/>
      <c r="UU3" s="706"/>
      <c r="UV3" s="706"/>
      <c r="UW3" s="706"/>
      <c r="UX3" s="706"/>
      <c r="UY3" s="706"/>
      <c r="UZ3" s="706"/>
      <c r="VA3" s="706"/>
      <c r="VB3" s="706"/>
      <c r="VC3" s="706"/>
      <c r="VD3" s="706"/>
      <c r="VE3" s="706"/>
      <c r="VF3" s="706"/>
      <c r="VG3" s="706"/>
      <c r="VH3" s="706"/>
      <c r="VI3" s="706"/>
      <c r="VJ3" s="706"/>
      <c r="VK3" s="706"/>
      <c r="VL3" s="706"/>
      <c r="VM3" s="706"/>
      <c r="VN3" s="706"/>
      <c r="VO3" s="706"/>
      <c r="VP3" s="706"/>
      <c r="VQ3" s="706"/>
      <c r="VR3" s="706"/>
      <c r="VS3" s="706"/>
      <c r="VT3" s="706"/>
      <c r="VU3" s="706"/>
      <c r="VV3" s="706"/>
      <c r="VW3" s="706"/>
      <c r="VX3" s="706"/>
      <c r="VY3" s="706"/>
      <c r="VZ3" s="706"/>
      <c r="WA3" s="706"/>
      <c r="WB3" s="706"/>
      <c r="WC3" s="706"/>
      <c r="WD3" s="706"/>
      <c r="WE3" s="706"/>
      <c r="WF3" s="706"/>
      <c r="WG3" s="706"/>
      <c r="WH3" s="706"/>
      <c r="WI3" s="706"/>
      <c r="WJ3" s="706"/>
      <c r="WK3" s="706"/>
      <c r="WL3" s="706"/>
      <c r="WM3" s="706"/>
      <c r="WN3" s="706"/>
      <c r="WO3" s="706"/>
      <c r="WP3" s="706"/>
      <c r="WQ3" s="706"/>
      <c r="WR3" s="706"/>
      <c r="WS3" s="706"/>
      <c r="WT3" s="706"/>
      <c r="WU3" s="706"/>
      <c r="WV3" s="706"/>
      <c r="WW3" s="706"/>
      <c r="WX3" s="706"/>
      <c r="WY3" s="706"/>
      <c r="WZ3" s="706"/>
      <c r="XA3" s="706"/>
      <c r="XB3" s="706"/>
      <c r="XC3" s="706"/>
      <c r="XD3" s="706"/>
      <c r="XE3" s="706"/>
      <c r="XF3" s="706"/>
      <c r="XG3" s="706"/>
      <c r="XH3" s="706"/>
      <c r="XI3" s="706"/>
      <c r="XJ3" s="706"/>
      <c r="XK3" s="706"/>
      <c r="XL3" s="706"/>
      <c r="XM3" s="706"/>
      <c r="XN3" s="706"/>
      <c r="XO3" s="706"/>
      <c r="XP3" s="706"/>
      <c r="XQ3" s="706"/>
      <c r="XR3" s="706"/>
      <c r="XS3" s="706"/>
      <c r="XT3" s="706"/>
      <c r="XU3" s="706"/>
      <c r="XV3" s="707"/>
      <c r="XW3" s="717" t="s">
        <v>527</v>
      </c>
      <c r="XX3" s="718"/>
      <c r="XY3" s="718"/>
      <c r="XZ3" s="718"/>
      <c r="YA3" s="718"/>
      <c r="YB3" s="718"/>
      <c r="YC3" s="718"/>
      <c r="YD3" s="718"/>
      <c r="YE3" s="718"/>
      <c r="YF3" s="718"/>
      <c r="YG3" s="718"/>
      <c r="YH3" s="718"/>
      <c r="YI3" s="718"/>
      <c r="YJ3" s="718"/>
      <c r="YK3" s="718"/>
      <c r="YL3" s="718"/>
      <c r="YM3" s="718"/>
      <c r="YN3" s="718"/>
      <c r="YO3" s="718"/>
      <c r="YP3" s="718"/>
      <c r="YQ3" s="718"/>
      <c r="YR3" s="718"/>
      <c r="YS3" s="718"/>
      <c r="YT3" s="718"/>
      <c r="YU3" s="718"/>
      <c r="YV3" s="718"/>
      <c r="YW3" s="718"/>
      <c r="YX3" s="719"/>
      <c r="YY3" s="708" t="s">
        <v>534</v>
      </c>
      <c r="YZ3" s="709"/>
      <c r="ZA3" s="709"/>
      <c r="ZB3" s="709"/>
      <c r="ZC3" s="709"/>
      <c r="ZD3" s="709"/>
      <c r="ZE3" s="709"/>
      <c r="ZF3" s="709"/>
      <c r="ZG3" s="709"/>
      <c r="ZH3" s="709"/>
      <c r="ZI3" s="709"/>
      <c r="ZJ3" s="709"/>
      <c r="ZK3" s="709"/>
      <c r="ZL3" s="709"/>
      <c r="ZM3" s="709"/>
      <c r="ZN3" s="709"/>
      <c r="ZO3" s="709"/>
      <c r="ZP3" s="709"/>
      <c r="ZQ3" s="709"/>
      <c r="ZR3" s="709"/>
      <c r="ZS3" s="709"/>
      <c r="ZT3" s="709"/>
      <c r="ZU3" s="709"/>
      <c r="ZV3" s="709"/>
      <c r="ZW3" s="709"/>
      <c r="ZX3" s="709"/>
      <c r="ZY3" s="709"/>
      <c r="ZZ3" s="710"/>
      <c r="AAA3" s="702" t="s">
        <v>535</v>
      </c>
      <c r="AAB3" s="703"/>
      <c r="AAC3" s="703"/>
      <c r="AAD3" s="703"/>
      <c r="AAE3" s="703"/>
      <c r="AAF3" s="703"/>
      <c r="AAG3" s="703"/>
      <c r="AAH3" s="703"/>
      <c r="AAI3" s="703"/>
      <c r="AAJ3" s="703"/>
      <c r="AAK3" s="703"/>
      <c r="AAL3" s="703"/>
      <c r="AAM3" s="703"/>
      <c r="AAN3" s="703"/>
      <c r="AAO3" s="703"/>
      <c r="AAP3" s="703"/>
      <c r="AAQ3" s="703"/>
      <c r="AAR3" s="703"/>
      <c r="AAS3" s="703"/>
      <c r="AAT3" s="703"/>
      <c r="AAU3" s="703"/>
      <c r="AAV3" s="703"/>
      <c r="AAW3" s="703"/>
      <c r="AAX3" s="703"/>
      <c r="AAY3" s="703"/>
      <c r="AAZ3" s="703"/>
      <c r="ABA3" s="703"/>
      <c r="ABB3" s="704"/>
    </row>
    <row r="4" spans="1:730">
      <c r="A4" s="746"/>
      <c r="B4" s="747"/>
      <c r="C4" s="747"/>
      <c r="D4" s="747"/>
      <c r="E4" s="747"/>
      <c r="F4" s="748"/>
      <c r="G4" s="732"/>
      <c r="H4" s="733"/>
      <c r="I4" s="733"/>
      <c r="J4" s="733"/>
      <c r="K4" s="733"/>
      <c r="L4" s="730"/>
      <c r="M4" s="732"/>
      <c r="N4" s="733"/>
      <c r="O4" s="733"/>
      <c r="P4" s="733"/>
      <c r="Q4" s="733"/>
      <c r="R4" s="730"/>
      <c r="S4" s="727"/>
      <c r="T4" s="728"/>
      <c r="U4" s="728"/>
      <c r="V4" s="728"/>
      <c r="W4" s="728"/>
      <c r="X4" s="729"/>
      <c r="Y4" s="727"/>
      <c r="Z4" s="728"/>
      <c r="AA4" s="728"/>
      <c r="AB4" s="728"/>
      <c r="AC4" s="728"/>
      <c r="AD4" s="729"/>
      <c r="AE4" s="724"/>
      <c r="AF4" s="725"/>
      <c r="AG4" s="725"/>
      <c r="AH4" s="725"/>
      <c r="AI4" s="725"/>
      <c r="AJ4" s="726"/>
      <c r="AK4" s="724"/>
      <c r="AL4" s="725"/>
      <c r="AM4" s="725"/>
      <c r="AN4" s="725"/>
      <c r="AO4" s="725"/>
      <c r="AP4" s="726"/>
      <c r="AQ4" s="724"/>
      <c r="AR4" s="725"/>
      <c r="AS4" s="725"/>
      <c r="AT4" s="725"/>
      <c r="AU4" s="725"/>
      <c r="AV4" s="726"/>
      <c r="AW4" s="736"/>
      <c r="AX4" s="732"/>
      <c r="AY4" s="733"/>
      <c r="AZ4" s="733"/>
      <c r="BA4" s="733"/>
      <c r="BB4" s="730"/>
      <c r="BC4" s="727"/>
      <c r="BD4" s="728"/>
      <c r="BE4" s="728"/>
      <c r="BF4" s="728"/>
      <c r="BG4" s="729"/>
      <c r="BH4" s="724"/>
      <c r="BI4" s="725"/>
      <c r="BJ4" s="725"/>
      <c r="BK4" s="725"/>
      <c r="BL4" s="726"/>
      <c r="BM4" s="724"/>
      <c r="BN4" s="725"/>
      <c r="BO4" s="726"/>
      <c r="BP4" s="733"/>
      <c r="BQ4" s="733"/>
      <c r="BR4" s="733"/>
      <c r="BS4" s="733"/>
      <c r="BT4" s="733"/>
      <c r="BU4" s="727"/>
      <c r="BV4" s="728"/>
      <c r="BW4" s="728"/>
      <c r="BX4" s="728"/>
      <c r="BY4" s="728"/>
      <c r="BZ4" s="724"/>
      <c r="CA4" s="725"/>
      <c r="CB4" s="725"/>
      <c r="CC4" s="725"/>
      <c r="CD4" s="725"/>
      <c r="CE4" s="732"/>
      <c r="CF4" s="733"/>
      <c r="CG4" s="733"/>
      <c r="CH4" s="733"/>
      <c r="CI4" s="733"/>
      <c r="CJ4" s="733"/>
      <c r="CK4" s="733"/>
      <c r="CL4" s="733"/>
      <c r="CM4" s="733"/>
      <c r="CN4" s="733"/>
      <c r="CO4" s="727"/>
      <c r="CP4" s="728"/>
      <c r="CQ4" s="728"/>
      <c r="CR4" s="728"/>
      <c r="CS4" s="728"/>
      <c r="CT4" s="728"/>
      <c r="CU4" s="728"/>
      <c r="CV4" s="728"/>
      <c r="CW4" s="728"/>
      <c r="CX4" s="729"/>
      <c r="CY4" s="724"/>
      <c r="CZ4" s="725"/>
      <c r="DA4" s="725"/>
      <c r="DB4" s="725"/>
      <c r="DC4" s="725"/>
      <c r="DD4" s="725"/>
      <c r="DE4" s="725"/>
      <c r="DF4" s="725"/>
      <c r="DG4" s="725"/>
      <c r="DH4" s="725"/>
      <c r="DI4" s="732"/>
      <c r="DJ4" s="733"/>
      <c r="DK4" s="733"/>
      <c r="DL4" s="733"/>
      <c r="DM4" s="733"/>
      <c r="DN4" s="733"/>
      <c r="DO4" s="733"/>
      <c r="DP4" s="733"/>
      <c r="DQ4" s="733"/>
      <c r="DR4" s="733"/>
      <c r="DS4" s="727"/>
      <c r="DT4" s="728"/>
      <c r="DU4" s="728"/>
      <c r="DV4" s="728"/>
      <c r="DW4" s="728"/>
      <c r="DX4" s="728"/>
      <c r="DY4" s="728"/>
      <c r="DZ4" s="728"/>
      <c r="EA4" s="728"/>
      <c r="EB4" s="728"/>
      <c r="EC4" s="724"/>
      <c r="ED4" s="725"/>
      <c r="EE4" s="725"/>
      <c r="EF4" s="725"/>
      <c r="EG4" s="725"/>
      <c r="EH4" s="725"/>
      <c r="EI4" s="725"/>
      <c r="EJ4" s="725"/>
      <c r="EK4" s="725"/>
      <c r="EL4" s="725"/>
      <c r="EM4" s="732"/>
      <c r="EN4" s="733"/>
      <c r="EO4" s="733"/>
      <c r="EP4" s="733"/>
      <c r="EQ4" s="733"/>
      <c r="ER4" s="733"/>
      <c r="ES4" s="730"/>
      <c r="ET4" s="727"/>
      <c r="EU4" s="728"/>
      <c r="EV4" s="728"/>
      <c r="EW4" s="728"/>
      <c r="EX4" s="728"/>
      <c r="EY4" s="728"/>
      <c r="EZ4" s="729"/>
      <c r="FA4" s="724"/>
      <c r="FB4" s="725"/>
      <c r="FC4" s="725"/>
      <c r="FD4" s="725"/>
      <c r="FE4" s="725"/>
      <c r="FF4" s="725"/>
      <c r="FG4" s="726"/>
      <c r="FH4" s="724"/>
      <c r="FI4" s="726"/>
      <c r="FJ4" s="716"/>
      <c r="FK4" s="731"/>
      <c r="FL4" s="731"/>
      <c r="FM4" s="731"/>
      <c r="FN4" s="731"/>
      <c r="FO4" s="731"/>
      <c r="FP4" s="731"/>
      <c r="FQ4" s="731"/>
      <c r="FR4" s="731"/>
      <c r="FS4" s="731"/>
      <c r="FT4" s="713"/>
      <c r="FU4" s="722"/>
      <c r="FV4" s="722"/>
      <c r="FW4" s="722"/>
      <c r="FX4" s="722"/>
      <c r="FY4" s="722"/>
      <c r="FZ4" s="722"/>
      <c r="GA4" s="722"/>
      <c r="GB4" s="722"/>
      <c r="GC4" s="722"/>
      <c r="GD4" s="707"/>
      <c r="GE4" s="734"/>
      <c r="GF4" s="734"/>
      <c r="GG4" s="734"/>
      <c r="GH4" s="734"/>
      <c r="GI4" s="734"/>
      <c r="GJ4" s="734"/>
      <c r="GK4" s="734"/>
      <c r="GL4" s="734"/>
      <c r="GM4" s="734"/>
      <c r="GN4" s="732"/>
      <c r="GO4" s="733"/>
      <c r="GP4" s="733"/>
      <c r="GQ4" s="733"/>
      <c r="GR4" s="733"/>
      <c r="GS4" s="733"/>
      <c r="GT4" s="730"/>
      <c r="GU4" s="727"/>
      <c r="GV4" s="728"/>
      <c r="GW4" s="728"/>
      <c r="GX4" s="728"/>
      <c r="GY4" s="728"/>
      <c r="GZ4" s="728"/>
      <c r="HA4" s="729"/>
      <c r="HB4" s="724"/>
      <c r="HC4" s="725"/>
      <c r="HD4" s="725"/>
      <c r="HE4" s="725"/>
      <c r="HF4" s="725"/>
      <c r="HG4" s="725"/>
      <c r="HH4" s="726"/>
      <c r="HI4" s="732"/>
      <c r="HJ4" s="733"/>
      <c r="HK4" s="733"/>
      <c r="HL4" s="733"/>
      <c r="HM4" s="733"/>
      <c r="HN4" s="733"/>
      <c r="HO4" s="730"/>
      <c r="HP4" s="727"/>
      <c r="HQ4" s="728"/>
      <c r="HR4" s="728"/>
      <c r="HS4" s="728"/>
      <c r="HT4" s="728"/>
      <c r="HU4" s="728"/>
      <c r="HV4" s="729"/>
      <c r="HW4" s="724"/>
      <c r="HX4" s="725"/>
      <c r="HY4" s="725"/>
      <c r="HZ4" s="725"/>
      <c r="IA4" s="725"/>
      <c r="IB4" s="725"/>
      <c r="IC4" s="726"/>
      <c r="ID4" s="723" t="s">
        <v>204</v>
      </c>
      <c r="IE4" s="723"/>
      <c r="IF4" s="723"/>
      <c r="IG4" s="723"/>
      <c r="IH4" s="723"/>
      <c r="II4" s="723"/>
      <c r="IJ4" s="723"/>
      <c r="IK4" s="723"/>
      <c r="IL4" s="723" t="s">
        <v>205</v>
      </c>
      <c r="IM4" s="723"/>
      <c r="IN4" s="723"/>
      <c r="IO4" s="723"/>
      <c r="IP4" s="723"/>
      <c r="IQ4" s="723"/>
      <c r="IR4" s="723"/>
      <c r="IS4" s="723"/>
      <c r="IT4" s="723" t="s">
        <v>224</v>
      </c>
      <c r="IU4" s="723"/>
      <c r="IV4" s="723"/>
      <c r="IW4" s="723"/>
      <c r="IX4" s="723"/>
      <c r="IY4" s="723"/>
      <c r="IZ4" s="723"/>
      <c r="JA4" s="723"/>
      <c r="JB4" s="723" t="s">
        <v>225</v>
      </c>
      <c r="JC4" s="723"/>
      <c r="JD4" s="723"/>
      <c r="JE4" s="723"/>
      <c r="JF4" s="723"/>
      <c r="JG4" s="723"/>
      <c r="JH4" s="723"/>
      <c r="JI4" s="723"/>
      <c r="JJ4" s="723" t="s">
        <v>226</v>
      </c>
      <c r="JK4" s="723"/>
      <c r="JL4" s="723"/>
      <c r="JM4" s="723"/>
      <c r="JN4" s="723"/>
      <c r="JO4" s="723"/>
      <c r="JP4" s="723"/>
      <c r="JQ4" s="723"/>
      <c r="JR4" s="723" t="s">
        <v>216</v>
      </c>
      <c r="JS4" s="723"/>
      <c r="JT4" s="723"/>
      <c r="JU4" s="723"/>
      <c r="JV4" s="723"/>
      <c r="JW4" s="723"/>
      <c r="JX4" s="723"/>
      <c r="JY4" s="723"/>
      <c r="JZ4" s="723" t="s">
        <v>227</v>
      </c>
      <c r="KA4" s="723"/>
      <c r="KB4" s="723"/>
      <c r="KC4" s="723"/>
      <c r="KD4" s="723"/>
      <c r="KE4" s="723"/>
      <c r="KF4" s="723"/>
      <c r="KG4" s="723"/>
      <c r="KH4" s="723" t="s">
        <v>198</v>
      </c>
      <c r="KI4" s="723"/>
      <c r="KJ4" s="723"/>
      <c r="KK4" s="723"/>
      <c r="KL4" s="723"/>
      <c r="KM4" s="723"/>
      <c r="KN4" s="723"/>
      <c r="KO4" s="723"/>
      <c r="KP4" s="723" t="s">
        <v>199</v>
      </c>
      <c r="KQ4" s="723"/>
      <c r="KR4" s="723"/>
      <c r="KS4" s="723"/>
      <c r="KT4" s="723"/>
      <c r="KU4" s="723"/>
      <c r="KV4" s="723"/>
      <c r="KW4" s="723"/>
      <c r="KX4" s="723" t="s">
        <v>228</v>
      </c>
      <c r="KY4" s="723"/>
      <c r="KZ4" s="723"/>
      <c r="LA4" s="723"/>
      <c r="LB4" s="723"/>
      <c r="LC4" s="723"/>
      <c r="LD4" s="723"/>
      <c r="LE4" s="723"/>
      <c r="LF4" s="723" t="s">
        <v>200</v>
      </c>
      <c r="LG4" s="723"/>
      <c r="LH4" s="723"/>
      <c r="LI4" s="723"/>
      <c r="LJ4" s="723"/>
      <c r="LK4" s="723"/>
      <c r="LL4" s="723"/>
      <c r="LM4" s="723"/>
      <c r="LN4" s="723" t="s">
        <v>229</v>
      </c>
      <c r="LO4" s="723"/>
      <c r="LP4" s="723"/>
      <c r="LQ4" s="723"/>
      <c r="LR4" s="723"/>
      <c r="LS4" s="723"/>
      <c r="LT4" s="723"/>
      <c r="LU4" s="723"/>
      <c r="LV4" s="723" t="s">
        <v>206</v>
      </c>
      <c r="LW4" s="723"/>
      <c r="LX4" s="723"/>
      <c r="LY4" s="723"/>
      <c r="LZ4" s="723"/>
      <c r="MA4" s="723"/>
      <c r="MB4" s="723"/>
      <c r="MC4" s="723"/>
      <c r="MD4" s="723" t="s">
        <v>277</v>
      </c>
      <c r="ME4" s="723"/>
      <c r="MF4" s="723"/>
      <c r="MG4" s="723"/>
      <c r="MH4" s="723"/>
      <c r="MI4" s="723"/>
      <c r="MJ4" s="723"/>
      <c r="MK4" s="723"/>
      <c r="ML4" s="723" t="s">
        <v>278</v>
      </c>
      <c r="MM4" s="723"/>
      <c r="MN4" s="723"/>
      <c r="MO4" s="723"/>
      <c r="MP4" s="723"/>
      <c r="MQ4" s="723"/>
      <c r="MR4" s="723"/>
      <c r="MS4" s="723"/>
      <c r="MT4" s="714" t="s">
        <v>207</v>
      </c>
      <c r="MU4" s="715"/>
      <c r="MV4" s="715"/>
      <c r="MW4" s="715"/>
      <c r="MX4" s="715"/>
      <c r="MY4" s="715"/>
      <c r="MZ4" s="715"/>
      <c r="NA4" s="715"/>
      <c r="NB4" s="714" t="s">
        <v>157</v>
      </c>
      <c r="NC4" s="715"/>
      <c r="ND4" s="715"/>
      <c r="NE4" s="715"/>
      <c r="NF4" s="715"/>
      <c r="NG4" s="715"/>
      <c r="NH4" s="715"/>
      <c r="NI4" s="715"/>
      <c r="NJ4" s="720" t="s">
        <v>204</v>
      </c>
      <c r="NK4" s="720"/>
      <c r="NL4" s="720"/>
      <c r="NM4" s="720"/>
      <c r="NN4" s="720"/>
      <c r="NO4" s="720"/>
      <c r="NP4" s="720"/>
      <c r="NQ4" s="720"/>
      <c r="NR4" s="720" t="s">
        <v>205</v>
      </c>
      <c r="NS4" s="720"/>
      <c r="NT4" s="720"/>
      <c r="NU4" s="720"/>
      <c r="NV4" s="720"/>
      <c r="NW4" s="720"/>
      <c r="NX4" s="720"/>
      <c r="NY4" s="720"/>
      <c r="NZ4" s="720" t="s">
        <v>224</v>
      </c>
      <c r="OA4" s="720"/>
      <c r="OB4" s="720"/>
      <c r="OC4" s="720"/>
      <c r="OD4" s="720"/>
      <c r="OE4" s="720"/>
      <c r="OF4" s="720"/>
      <c r="OG4" s="720"/>
      <c r="OH4" s="720" t="s">
        <v>225</v>
      </c>
      <c r="OI4" s="720"/>
      <c r="OJ4" s="720"/>
      <c r="OK4" s="720"/>
      <c r="OL4" s="720"/>
      <c r="OM4" s="720"/>
      <c r="ON4" s="720"/>
      <c r="OO4" s="720"/>
      <c r="OP4" s="720" t="s">
        <v>226</v>
      </c>
      <c r="OQ4" s="720"/>
      <c r="OR4" s="720"/>
      <c r="OS4" s="720"/>
      <c r="OT4" s="720"/>
      <c r="OU4" s="720"/>
      <c r="OV4" s="720"/>
      <c r="OW4" s="720"/>
      <c r="OX4" s="720" t="s">
        <v>216</v>
      </c>
      <c r="OY4" s="720"/>
      <c r="OZ4" s="720"/>
      <c r="PA4" s="720"/>
      <c r="PB4" s="720"/>
      <c r="PC4" s="720"/>
      <c r="PD4" s="720"/>
      <c r="PE4" s="720"/>
      <c r="PF4" s="720" t="s">
        <v>227</v>
      </c>
      <c r="PG4" s="720"/>
      <c r="PH4" s="720"/>
      <c r="PI4" s="720"/>
      <c r="PJ4" s="720"/>
      <c r="PK4" s="720"/>
      <c r="PL4" s="720"/>
      <c r="PM4" s="720"/>
      <c r="PN4" s="720" t="s">
        <v>198</v>
      </c>
      <c r="PO4" s="720"/>
      <c r="PP4" s="720"/>
      <c r="PQ4" s="720"/>
      <c r="PR4" s="720"/>
      <c r="PS4" s="720"/>
      <c r="PT4" s="720"/>
      <c r="PU4" s="720"/>
      <c r="PV4" s="720" t="s">
        <v>199</v>
      </c>
      <c r="PW4" s="720"/>
      <c r="PX4" s="720"/>
      <c r="PY4" s="720"/>
      <c r="PZ4" s="720"/>
      <c r="QA4" s="720"/>
      <c r="QB4" s="720"/>
      <c r="QC4" s="720"/>
      <c r="QD4" s="720" t="s">
        <v>228</v>
      </c>
      <c r="QE4" s="720"/>
      <c r="QF4" s="720"/>
      <c r="QG4" s="720"/>
      <c r="QH4" s="720"/>
      <c r="QI4" s="720"/>
      <c r="QJ4" s="720"/>
      <c r="QK4" s="720"/>
      <c r="QL4" s="720" t="s">
        <v>200</v>
      </c>
      <c r="QM4" s="720"/>
      <c r="QN4" s="720"/>
      <c r="QO4" s="720"/>
      <c r="QP4" s="720"/>
      <c r="QQ4" s="720"/>
      <c r="QR4" s="720"/>
      <c r="QS4" s="720"/>
      <c r="QT4" s="720" t="s">
        <v>229</v>
      </c>
      <c r="QU4" s="720"/>
      <c r="QV4" s="720"/>
      <c r="QW4" s="720"/>
      <c r="QX4" s="720"/>
      <c r="QY4" s="720"/>
      <c r="QZ4" s="720"/>
      <c r="RA4" s="720"/>
      <c r="RB4" s="720" t="s">
        <v>206</v>
      </c>
      <c r="RC4" s="720"/>
      <c r="RD4" s="720"/>
      <c r="RE4" s="720"/>
      <c r="RF4" s="720"/>
      <c r="RG4" s="720"/>
      <c r="RH4" s="720"/>
      <c r="RI4" s="720"/>
      <c r="RJ4" s="720" t="s">
        <v>277</v>
      </c>
      <c r="RK4" s="720"/>
      <c r="RL4" s="720"/>
      <c r="RM4" s="720"/>
      <c r="RN4" s="720"/>
      <c r="RO4" s="720"/>
      <c r="RP4" s="720"/>
      <c r="RQ4" s="720"/>
      <c r="RR4" s="720" t="s">
        <v>278</v>
      </c>
      <c r="RS4" s="720"/>
      <c r="RT4" s="720"/>
      <c r="RU4" s="720"/>
      <c r="RV4" s="720"/>
      <c r="RW4" s="720"/>
      <c r="RX4" s="720"/>
      <c r="RY4" s="720"/>
      <c r="RZ4" s="711" t="s">
        <v>207</v>
      </c>
      <c r="SA4" s="712"/>
      <c r="SB4" s="712"/>
      <c r="SC4" s="712"/>
      <c r="SD4" s="712"/>
      <c r="SE4" s="712"/>
      <c r="SF4" s="712"/>
      <c r="SG4" s="712"/>
      <c r="SH4" s="711" t="s">
        <v>157</v>
      </c>
      <c r="SI4" s="712"/>
      <c r="SJ4" s="712"/>
      <c r="SK4" s="712"/>
      <c r="SL4" s="712"/>
      <c r="SM4" s="712"/>
      <c r="SN4" s="712"/>
      <c r="SO4" s="712"/>
      <c r="SP4" s="721" t="s">
        <v>204</v>
      </c>
      <c r="SQ4" s="721"/>
      <c r="SR4" s="721"/>
      <c r="SS4" s="721"/>
      <c r="ST4" s="721"/>
      <c r="SU4" s="721"/>
      <c r="SV4" s="721"/>
      <c r="SW4" s="721"/>
      <c r="SX4" s="721" t="s">
        <v>205</v>
      </c>
      <c r="SY4" s="721"/>
      <c r="SZ4" s="721"/>
      <c r="TA4" s="721"/>
      <c r="TB4" s="721"/>
      <c r="TC4" s="721"/>
      <c r="TD4" s="721"/>
      <c r="TE4" s="721"/>
      <c r="TF4" s="721" t="s">
        <v>224</v>
      </c>
      <c r="TG4" s="721"/>
      <c r="TH4" s="721"/>
      <c r="TI4" s="721"/>
      <c r="TJ4" s="721"/>
      <c r="TK4" s="721"/>
      <c r="TL4" s="721"/>
      <c r="TM4" s="721"/>
      <c r="TN4" s="721" t="s">
        <v>225</v>
      </c>
      <c r="TO4" s="721"/>
      <c r="TP4" s="721"/>
      <c r="TQ4" s="721"/>
      <c r="TR4" s="721"/>
      <c r="TS4" s="721"/>
      <c r="TT4" s="721"/>
      <c r="TU4" s="721"/>
      <c r="TV4" s="721" t="s">
        <v>226</v>
      </c>
      <c r="TW4" s="721"/>
      <c r="TX4" s="721"/>
      <c r="TY4" s="721"/>
      <c r="TZ4" s="721"/>
      <c r="UA4" s="721"/>
      <c r="UB4" s="721"/>
      <c r="UC4" s="721"/>
      <c r="UD4" s="721" t="s">
        <v>216</v>
      </c>
      <c r="UE4" s="721"/>
      <c r="UF4" s="721"/>
      <c r="UG4" s="721"/>
      <c r="UH4" s="721"/>
      <c r="UI4" s="721"/>
      <c r="UJ4" s="721"/>
      <c r="UK4" s="721"/>
      <c r="UL4" s="721" t="s">
        <v>227</v>
      </c>
      <c r="UM4" s="721"/>
      <c r="UN4" s="721"/>
      <c r="UO4" s="721"/>
      <c r="UP4" s="721"/>
      <c r="UQ4" s="721"/>
      <c r="UR4" s="721"/>
      <c r="US4" s="721"/>
      <c r="UT4" s="721" t="s">
        <v>198</v>
      </c>
      <c r="UU4" s="721"/>
      <c r="UV4" s="721"/>
      <c r="UW4" s="721"/>
      <c r="UX4" s="721"/>
      <c r="UY4" s="721"/>
      <c r="UZ4" s="721"/>
      <c r="VA4" s="721"/>
      <c r="VB4" s="721" t="s">
        <v>199</v>
      </c>
      <c r="VC4" s="721"/>
      <c r="VD4" s="721"/>
      <c r="VE4" s="721"/>
      <c r="VF4" s="721"/>
      <c r="VG4" s="721"/>
      <c r="VH4" s="721"/>
      <c r="VI4" s="721"/>
      <c r="VJ4" s="721" t="s">
        <v>228</v>
      </c>
      <c r="VK4" s="721"/>
      <c r="VL4" s="721"/>
      <c r="VM4" s="721"/>
      <c r="VN4" s="721"/>
      <c r="VO4" s="721"/>
      <c r="VP4" s="721"/>
      <c r="VQ4" s="721"/>
      <c r="VR4" s="721" t="s">
        <v>200</v>
      </c>
      <c r="VS4" s="721"/>
      <c r="VT4" s="721"/>
      <c r="VU4" s="721"/>
      <c r="VV4" s="721"/>
      <c r="VW4" s="721"/>
      <c r="VX4" s="721"/>
      <c r="VY4" s="721"/>
      <c r="VZ4" s="721" t="s">
        <v>229</v>
      </c>
      <c r="WA4" s="721"/>
      <c r="WB4" s="721"/>
      <c r="WC4" s="721"/>
      <c r="WD4" s="721"/>
      <c r="WE4" s="721"/>
      <c r="WF4" s="721"/>
      <c r="WG4" s="721"/>
      <c r="WH4" s="721" t="s">
        <v>206</v>
      </c>
      <c r="WI4" s="721"/>
      <c r="WJ4" s="721"/>
      <c r="WK4" s="721"/>
      <c r="WL4" s="721"/>
      <c r="WM4" s="721"/>
      <c r="WN4" s="721"/>
      <c r="WO4" s="721"/>
      <c r="WP4" s="721" t="s">
        <v>277</v>
      </c>
      <c r="WQ4" s="721"/>
      <c r="WR4" s="721"/>
      <c r="WS4" s="721"/>
      <c r="WT4" s="721"/>
      <c r="WU4" s="721"/>
      <c r="WV4" s="721"/>
      <c r="WW4" s="721"/>
      <c r="WX4" s="721" t="s">
        <v>278</v>
      </c>
      <c r="WY4" s="721"/>
      <c r="WZ4" s="721"/>
      <c r="XA4" s="721"/>
      <c r="XB4" s="721"/>
      <c r="XC4" s="721"/>
      <c r="XD4" s="721"/>
      <c r="XE4" s="721"/>
      <c r="XF4" s="705" t="s">
        <v>207</v>
      </c>
      <c r="XG4" s="706"/>
      <c r="XH4" s="706"/>
      <c r="XI4" s="706"/>
      <c r="XJ4" s="706"/>
      <c r="XK4" s="706"/>
      <c r="XL4" s="706"/>
      <c r="XM4" s="706"/>
      <c r="XN4" s="705" t="s">
        <v>157</v>
      </c>
      <c r="XO4" s="706"/>
      <c r="XP4" s="706"/>
      <c r="XQ4" s="706"/>
      <c r="XR4" s="706"/>
      <c r="XS4" s="706"/>
      <c r="XT4" s="706"/>
      <c r="XU4" s="706"/>
      <c r="XV4" s="707"/>
      <c r="XW4" s="714" t="s">
        <v>4</v>
      </c>
      <c r="XX4" s="715"/>
      <c r="XY4" s="715"/>
      <c r="XZ4" s="715"/>
      <c r="YA4" s="715"/>
      <c r="YB4" s="715"/>
      <c r="YC4" s="715"/>
      <c r="YD4" s="715"/>
      <c r="YE4" s="715"/>
      <c r="YF4" s="716"/>
      <c r="YG4" s="714" t="s">
        <v>5</v>
      </c>
      <c r="YH4" s="715"/>
      <c r="YI4" s="715"/>
      <c r="YJ4" s="715"/>
      <c r="YK4" s="715"/>
      <c r="YL4" s="715"/>
      <c r="YM4" s="714" t="s">
        <v>6</v>
      </c>
      <c r="YN4" s="715"/>
      <c r="YO4" s="715"/>
      <c r="YP4" s="715"/>
      <c r="YQ4" s="715"/>
      <c r="YR4" s="715"/>
      <c r="YS4" s="715"/>
      <c r="YT4" s="715"/>
      <c r="YU4" s="715"/>
      <c r="YV4" s="716"/>
      <c r="YW4" s="714" t="s">
        <v>526</v>
      </c>
      <c r="YX4" s="716"/>
      <c r="YY4" s="711" t="s">
        <v>4</v>
      </c>
      <c r="YZ4" s="712"/>
      <c r="ZA4" s="712"/>
      <c r="ZB4" s="712"/>
      <c r="ZC4" s="712"/>
      <c r="ZD4" s="712"/>
      <c r="ZE4" s="712"/>
      <c r="ZF4" s="712"/>
      <c r="ZG4" s="712"/>
      <c r="ZH4" s="713"/>
      <c r="ZI4" s="711" t="s">
        <v>5</v>
      </c>
      <c r="ZJ4" s="712"/>
      <c r="ZK4" s="712"/>
      <c r="ZL4" s="712"/>
      <c r="ZM4" s="712"/>
      <c r="ZN4" s="712"/>
      <c r="ZO4" s="711" t="s">
        <v>6</v>
      </c>
      <c r="ZP4" s="712"/>
      <c r="ZQ4" s="712"/>
      <c r="ZR4" s="712"/>
      <c r="ZS4" s="712"/>
      <c r="ZT4" s="712"/>
      <c r="ZU4" s="712"/>
      <c r="ZV4" s="712"/>
      <c r="ZW4" s="712"/>
      <c r="ZX4" s="713"/>
      <c r="ZY4" s="711" t="s">
        <v>526</v>
      </c>
      <c r="ZZ4" s="713"/>
      <c r="AAA4" s="705" t="s">
        <v>4</v>
      </c>
      <c r="AAB4" s="706"/>
      <c r="AAC4" s="706"/>
      <c r="AAD4" s="706"/>
      <c r="AAE4" s="706"/>
      <c r="AAF4" s="706"/>
      <c r="AAG4" s="706"/>
      <c r="AAH4" s="706"/>
      <c r="AAI4" s="706"/>
      <c r="AAJ4" s="707"/>
      <c r="AAK4" s="705" t="s">
        <v>5</v>
      </c>
      <c r="AAL4" s="706"/>
      <c r="AAM4" s="706"/>
      <c r="AAN4" s="706"/>
      <c r="AAO4" s="706"/>
      <c r="AAP4" s="706"/>
      <c r="AAQ4" s="705" t="s">
        <v>6</v>
      </c>
      <c r="AAR4" s="706"/>
      <c r="AAS4" s="706"/>
      <c r="AAT4" s="706"/>
      <c r="AAU4" s="706"/>
      <c r="AAV4" s="706"/>
      <c r="AAW4" s="706"/>
      <c r="AAX4" s="706"/>
      <c r="AAY4" s="706"/>
      <c r="AAZ4" s="707"/>
      <c r="ABA4" s="705" t="s">
        <v>526</v>
      </c>
      <c r="ABB4" s="707"/>
    </row>
    <row r="5" spans="1:730" s="28" customFormat="1" ht="72">
      <c r="A5" s="29" t="s">
        <v>562</v>
      </c>
      <c r="B5" s="125" t="s">
        <v>235</v>
      </c>
      <c r="C5" s="29" t="s">
        <v>236</v>
      </c>
      <c r="D5" s="29" t="s">
        <v>210</v>
      </c>
      <c r="E5" s="29" t="s">
        <v>211</v>
      </c>
      <c r="F5" s="29" t="s">
        <v>212</v>
      </c>
      <c r="G5" s="40" t="s">
        <v>4</v>
      </c>
      <c r="H5" s="40" t="s">
        <v>5</v>
      </c>
      <c r="I5" s="40" t="s">
        <v>6</v>
      </c>
      <c r="J5" s="102" t="s">
        <v>7</v>
      </c>
      <c r="K5" s="92" t="s">
        <v>30</v>
      </c>
      <c r="L5" s="103" t="s">
        <v>102</v>
      </c>
      <c r="M5" s="40" t="s">
        <v>4</v>
      </c>
      <c r="N5" s="40" t="s">
        <v>5</v>
      </c>
      <c r="O5" s="40" t="s">
        <v>6</v>
      </c>
      <c r="P5" s="89" t="s">
        <v>7</v>
      </c>
      <c r="Q5" s="92" t="s">
        <v>30</v>
      </c>
      <c r="R5" s="40" t="s">
        <v>8</v>
      </c>
      <c r="S5" s="279" t="s">
        <v>4</v>
      </c>
      <c r="T5" s="279" t="s">
        <v>5</v>
      </c>
      <c r="U5" s="279" t="s">
        <v>6</v>
      </c>
      <c r="V5" s="282" t="s">
        <v>7</v>
      </c>
      <c r="W5" s="283" t="s">
        <v>30</v>
      </c>
      <c r="X5" s="279" t="s">
        <v>102</v>
      </c>
      <c r="Y5" s="279" t="s">
        <v>4</v>
      </c>
      <c r="Z5" s="279" t="s">
        <v>5</v>
      </c>
      <c r="AA5" s="279" t="s">
        <v>6</v>
      </c>
      <c r="AB5" s="282" t="s">
        <v>7</v>
      </c>
      <c r="AC5" s="283" t="s">
        <v>30</v>
      </c>
      <c r="AD5" s="279" t="s">
        <v>102</v>
      </c>
      <c r="AE5" s="38" t="s">
        <v>4</v>
      </c>
      <c r="AF5" s="38" t="s">
        <v>5</v>
      </c>
      <c r="AG5" s="38" t="s">
        <v>6</v>
      </c>
      <c r="AH5" s="93" t="s">
        <v>7</v>
      </c>
      <c r="AI5" s="94" t="s">
        <v>30</v>
      </c>
      <c r="AJ5" s="38" t="s">
        <v>102</v>
      </c>
      <c r="AK5" s="38" t="s">
        <v>4</v>
      </c>
      <c r="AL5" s="38" t="s">
        <v>5</v>
      </c>
      <c r="AM5" s="38" t="s">
        <v>6</v>
      </c>
      <c r="AN5" s="93" t="s">
        <v>7</v>
      </c>
      <c r="AO5" s="94" t="s">
        <v>30</v>
      </c>
      <c r="AP5" s="38" t="s">
        <v>102</v>
      </c>
      <c r="AQ5" s="38" t="s">
        <v>246</v>
      </c>
      <c r="AR5" s="38" t="s">
        <v>247</v>
      </c>
      <c r="AS5" s="38" t="s">
        <v>248</v>
      </c>
      <c r="AT5" s="38" t="s">
        <v>249</v>
      </c>
      <c r="AU5" s="93" t="s">
        <v>250</v>
      </c>
      <c r="AV5" s="94" t="s">
        <v>251</v>
      </c>
      <c r="AW5" s="737"/>
      <c r="AX5" s="82" t="s">
        <v>4</v>
      </c>
      <c r="AY5" s="82" t="s">
        <v>5</v>
      </c>
      <c r="AZ5" s="82" t="s">
        <v>6</v>
      </c>
      <c r="BA5" s="98" t="s">
        <v>7</v>
      </c>
      <c r="BB5" s="255" t="s">
        <v>30</v>
      </c>
      <c r="BC5" s="279" t="s">
        <v>4</v>
      </c>
      <c r="BD5" s="279" t="s">
        <v>5</v>
      </c>
      <c r="BE5" s="279" t="s">
        <v>6</v>
      </c>
      <c r="BF5" s="280" t="s">
        <v>7</v>
      </c>
      <c r="BG5" s="281" t="s">
        <v>30</v>
      </c>
      <c r="BH5" s="38" t="s">
        <v>4</v>
      </c>
      <c r="BI5" s="38" t="s">
        <v>5</v>
      </c>
      <c r="BJ5" s="38" t="s">
        <v>6</v>
      </c>
      <c r="BK5" s="286" t="s">
        <v>7</v>
      </c>
      <c r="BL5" s="287" t="s">
        <v>30</v>
      </c>
      <c r="BM5" s="38" t="s">
        <v>481</v>
      </c>
      <c r="BN5" s="38" t="s">
        <v>482</v>
      </c>
      <c r="BO5" s="38" t="s">
        <v>483</v>
      </c>
      <c r="BP5" s="42" t="s">
        <v>4</v>
      </c>
      <c r="BQ5" s="42" t="s">
        <v>5</v>
      </c>
      <c r="BR5" s="42" t="s">
        <v>6</v>
      </c>
      <c r="BS5" s="42" t="s">
        <v>7</v>
      </c>
      <c r="BT5" s="288" t="s">
        <v>30</v>
      </c>
      <c r="BU5" s="289" t="s">
        <v>4</v>
      </c>
      <c r="BV5" s="289" t="s">
        <v>5</v>
      </c>
      <c r="BW5" s="289" t="s">
        <v>6</v>
      </c>
      <c r="BX5" s="289" t="s">
        <v>7</v>
      </c>
      <c r="BY5" s="290" t="s">
        <v>30</v>
      </c>
      <c r="BZ5" s="41" t="s">
        <v>4</v>
      </c>
      <c r="CA5" s="41" t="s">
        <v>5</v>
      </c>
      <c r="CB5" s="41" t="s">
        <v>6</v>
      </c>
      <c r="CC5" s="41" t="s">
        <v>7</v>
      </c>
      <c r="CD5" s="95" t="s">
        <v>30</v>
      </c>
      <c r="CE5" s="42" t="s">
        <v>4</v>
      </c>
      <c r="CF5" s="291" t="s">
        <v>208</v>
      </c>
      <c r="CG5" s="42" t="s">
        <v>5</v>
      </c>
      <c r="CH5" s="291" t="s">
        <v>208</v>
      </c>
      <c r="CI5" s="42" t="s">
        <v>6</v>
      </c>
      <c r="CJ5" s="291" t="s">
        <v>208</v>
      </c>
      <c r="CK5" s="42" t="s">
        <v>7</v>
      </c>
      <c r="CL5" s="291" t="s">
        <v>208</v>
      </c>
      <c r="CM5" s="288" t="s">
        <v>30</v>
      </c>
      <c r="CN5" s="291" t="s">
        <v>208</v>
      </c>
      <c r="CO5" s="289" t="s">
        <v>4</v>
      </c>
      <c r="CP5" s="292" t="s">
        <v>208</v>
      </c>
      <c r="CQ5" s="289" t="s">
        <v>5</v>
      </c>
      <c r="CR5" s="292" t="s">
        <v>208</v>
      </c>
      <c r="CS5" s="289" t="s">
        <v>6</v>
      </c>
      <c r="CT5" s="292" t="s">
        <v>208</v>
      </c>
      <c r="CU5" s="289" t="s">
        <v>7</v>
      </c>
      <c r="CV5" s="292" t="s">
        <v>208</v>
      </c>
      <c r="CW5" s="290" t="s">
        <v>30</v>
      </c>
      <c r="CX5" s="292" t="s">
        <v>208</v>
      </c>
      <c r="CY5" s="41" t="s">
        <v>4</v>
      </c>
      <c r="CZ5" s="100" t="s">
        <v>208</v>
      </c>
      <c r="DA5" s="41" t="s">
        <v>5</v>
      </c>
      <c r="DB5" s="100" t="s">
        <v>208</v>
      </c>
      <c r="DC5" s="41" t="s">
        <v>6</v>
      </c>
      <c r="DD5" s="100" t="s">
        <v>208</v>
      </c>
      <c r="DE5" s="41" t="s">
        <v>7</v>
      </c>
      <c r="DF5" s="100" t="s">
        <v>208</v>
      </c>
      <c r="DG5" s="95" t="s">
        <v>30</v>
      </c>
      <c r="DH5" s="100" t="s">
        <v>208</v>
      </c>
      <c r="DI5" s="42" t="s">
        <v>4</v>
      </c>
      <c r="DJ5" s="96" t="s">
        <v>208</v>
      </c>
      <c r="DK5" s="42" t="s">
        <v>5</v>
      </c>
      <c r="DL5" s="96" t="s">
        <v>208</v>
      </c>
      <c r="DM5" s="42" t="s">
        <v>6</v>
      </c>
      <c r="DN5" s="96" t="s">
        <v>208</v>
      </c>
      <c r="DO5" s="42" t="s">
        <v>7</v>
      </c>
      <c r="DP5" s="97" t="s">
        <v>208</v>
      </c>
      <c r="DQ5" s="96" t="s">
        <v>30</v>
      </c>
      <c r="DR5" s="276" t="s">
        <v>208</v>
      </c>
      <c r="DS5" s="289" t="s">
        <v>4</v>
      </c>
      <c r="DT5" s="298" t="s">
        <v>208</v>
      </c>
      <c r="DU5" s="289" t="s">
        <v>5</v>
      </c>
      <c r="DV5" s="298" t="s">
        <v>208</v>
      </c>
      <c r="DW5" s="289" t="s">
        <v>6</v>
      </c>
      <c r="DX5" s="298" t="s">
        <v>208</v>
      </c>
      <c r="DY5" s="289" t="s">
        <v>7</v>
      </c>
      <c r="DZ5" s="299" t="s">
        <v>208</v>
      </c>
      <c r="EA5" s="298" t="s">
        <v>30</v>
      </c>
      <c r="EB5" s="293" t="s">
        <v>208</v>
      </c>
      <c r="EC5" s="41" t="s">
        <v>4</v>
      </c>
      <c r="ED5" s="296" t="s">
        <v>208</v>
      </c>
      <c r="EE5" s="41" t="s">
        <v>5</v>
      </c>
      <c r="EF5" s="296" t="s">
        <v>208</v>
      </c>
      <c r="EG5" s="41" t="s">
        <v>6</v>
      </c>
      <c r="EH5" s="296" t="s">
        <v>208</v>
      </c>
      <c r="EI5" s="41" t="s">
        <v>7</v>
      </c>
      <c r="EJ5" s="297" t="s">
        <v>208</v>
      </c>
      <c r="EK5" s="296" t="s">
        <v>30</v>
      </c>
      <c r="EL5" s="294" t="s">
        <v>208</v>
      </c>
      <c r="EM5" s="275" t="s">
        <v>201</v>
      </c>
      <c r="EN5" s="82" t="s">
        <v>191</v>
      </c>
      <c r="EO5" s="82" t="s">
        <v>192</v>
      </c>
      <c r="EP5" s="82" t="s">
        <v>193</v>
      </c>
      <c r="EQ5" s="82" t="s">
        <v>194</v>
      </c>
      <c r="ER5" s="275" t="s">
        <v>195</v>
      </c>
      <c r="ES5" s="92" t="s">
        <v>232</v>
      </c>
      <c r="ET5" s="282" t="s">
        <v>201</v>
      </c>
      <c r="EU5" s="279" t="s">
        <v>33</v>
      </c>
      <c r="EV5" s="279" t="s">
        <v>34</v>
      </c>
      <c r="EW5" s="279" t="s">
        <v>35</v>
      </c>
      <c r="EX5" s="279" t="s">
        <v>36</v>
      </c>
      <c r="EY5" s="282" t="s">
        <v>37</v>
      </c>
      <c r="EZ5" s="283" t="s">
        <v>30</v>
      </c>
      <c r="FA5" s="93" t="s">
        <v>201</v>
      </c>
      <c r="FB5" s="38" t="s">
        <v>33</v>
      </c>
      <c r="FC5" s="38" t="s">
        <v>34</v>
      </c>
      <c r="FD5" s="38" t="s">
        <v>35</v>
      </c>
      <c r="FE5" s="38" t="s">
        <v>36</v>
      </c>
      <c r="FF5" s="93" t="s">
        <v>37</v>
      </c>
      <c r="FG5" s="94" t="s">
        <v>30</v>
      </c>
      <c r="FH5" s="38" t="s">
        <v>512</v>
      </c>
      <c r="FI5" s="38" t="s">
        <v>513</v>
      </c>
      <c r="FJ5" s="96" t="s">
        <v>4</v>
      </c>
      <c r="FK5" s="284" t="s">
        <v>92</v>
      </c>
      <c r="FL5" s="42" t="s">
        <v>5</v>
      </c>
      <c r="FM5" s="284" t="s">
        <v>92</v>
      </c>
      <c r="FN5" s="42" t="s">
        <v>6</v>
      </c>
      <c r="FO5" s="284" t="s">
        <v>92</v>
      </c>
      <c r="FP5" s="42" t="s">
        <v>7</v>
      </c>
      <c r="FQ5" s="97" t="s">
        <v>92</v>
      </c>
      <c r="FR5" s="96" t="s">
        <v>30</v>
      </c>
      <c r="FS5" s="284" t="s">
        <v>92</v>
      </c>
      <c r="FT5" s="298" t="s">
        <v>4</v>
      </c>
      <c r="FU5" s="281" t="s">
        <v>92</v>
      </c>
      <c r="FV5" s="289" t="s">
        <v>5</v>
      </c>
      <c r="FW5" s="281" t="s">
        <v>92</v>
      </c>
      <c r="FX5" s="289" t="s">
        <v>6</v>
      </c>
      <c r="FY5" s="281" t="s">
        <v>92</v>
      </c>
      <c r="FZ5" s="289" t="s">
        <v>7</v>
      </c>
      <c r="GA5" s="299" t="s">
        <v>92</v>
      </c>
      <c r="GB5" s="298" t="s">
        <v>30</v>
      </c>
      <c r="GC5" s="281" t="s">
        <v>92</v>
      </c>
      <c r="GD5" s="296" t="s">
        <v>4</v>
      </c>
      <c r="GE5" s="287" t="s">
        <v>92</v>
      </c>
      <c r="GF5" s="41" t="s">
        <v>5</v>
      </c>
      <c r="GG5" s="287" t="s">
        <v>92</v>
      </c>
      <c r="GH5" s="41" t="s">
        <v>6</v>
      </c>
      <c r="GI5" s="287" t="s">
        <v>92</v>
      </c>
      <c r="GJ5" s="41" t="s">
        <v>7</v>
      </c>
      <c r="GK5" s="297" t="s">
        <v>92</v>
      </c>
      <c r="GL5" s="296" t="s">
        <v>30</v>
      </c>
      <c r="GM5" s="287" t="s">
        <v>92</v>
      </c>
      <c r="GN5" s="40" t="s">
        <v>95</v>
      </c>
      <c r="GO5" s="40" t="s">
        <v>96</v>
      </c>
      <c r="GP5" s="40" t="s">
        <v>97</v>
      </c>
      <c r="GQ5" s="40" t="s">
        <v>98</v>
      </c>
      <c r="GR5" s="40" t="s">
        <v>12</v>
      </c>
      <c r="GS5" s="102" t="s">
        <v>99</v>
      </c>
      <c r="GT5" s="92" t="s">
        <v>232</v>
      </c>
      <c r="GU5" s="279" t="s">
        <v>95</v>
      </c>
      <c r="GV5" s="279" t="s">
        <v>96</v>
      </c>
      <c r="GW5" s="279" t="s">
        <v>97</v>
      </c>
      <c r="GX5" s="279" t="s">
        <v>98</v>
      </c>
      <c r="GY5" s="279" t="s">
        <v>12</v>
      </c>
      <c r="GZ5" s="282" t="s">
        <v>99</v>
      </c>
      <c r="HA5" s="283" t="s">
        <v>30</v>
      </c>
      <c r="HB5" s="38" t="s">
        <v>95</v>
      </c>
      <c r="HC5" s="38" t="s">
        <v>96</v>
      </c>
      <c r="HD5" s="38" t="s">
        <v>97</v>
      </c>
      <c r="HE5" s="38" t="s">
        <v>98</v>
      </c>
      <c r="HF5" s="38" t="s">
        <v>12</v>
      </c>
      <c r="HG5" s="93" t="s">
        <v>99</v>
      </c>
      <c r="HH5" s="94" t="s">
        <v>30</v>
      </c>
      <c r="HI5" s="40" t="s">
        <v>203</v>
      </c>
      <c r="HJ5" s="40" t="s">
        <v>33</v>
      </c>
      <c r="HK5" s="40" t="s">
        <v>34</v>
      </c>
      <c r="HL5" s="40" t="s">
        <v>35</v>
      </c>
      <c r="HM5" s="40" t="s">
        <v>36</v>
      </c>
      <c r="HN5" s="40" t="s">
        <v>37</v>
      </c>
      <c r="HO5" s="92" t="s">
        <v>232</v>
      </c>
      <c r="HP5" s="279" t="s">
        <v>201</v>
      </c>
      <c r="HQ5" s="279" t="s">
        <v>33</v>
      </c>
      <c r="HR5" s="279" t="s">
        <v>34</v>
      </c>
      <c r="HS5" s="279" t="s">
        <v>35</v>
      </c>
      <c r="HT5" s="279" t="s">
        <v>36</v>
      </c>
      <c r="HU5" s="279" t="s">
        <v>37</v>
      </c>
      <c r="HV5" s="283" t="s">
        <v>30</v>
      </c>
      <c r="HW5" s="38" t="s">
        <v>201</v>
      </c>
      <c r="HX5" s="38" t="s">
        <v>33</v>
      </c>
      <c r="HY5" s="38" t="s">
        <v>34</v>
      </c>
      <c r="HZ5" s="38" t="s">
        <v>35</v>
      </c>
      <c r="IA5" s="38" t="s">
        <v>36</v>
      </c>
      <c r="IB5" s="38" t="s">
        <v>37</v>
      </c>
      <c r="IC5" s="94" t="s">
        <v>30</v>
      </c>
      <c r="ID5" s="82" t="s">
        <v>203</v>
      </c>
      <c r="IE5" s="40" t="s">
        <v>191</v>
      </c>
      <c r="IF5" s="40" t="s">
        <v>192</v>
      </c>
      <c r="IG5" s="40" t="s">
        <v>193</v>
      </c>
      <c r="IH5" s="40" t="s">
        <v>194</v>
      </c>
      <c r="II5" s="40" t="s">
        <v>195</v>
      </c>
      <c r="IJ5" s="89" t="s">
        <v>196</v>
      </c>
      <c r="IK5" s="92" t="s">
        <v>197</v>
      </c>
      <c r="IL5" s="82" t="s">
        <v>203</v>
      </c>
      <c r="IM5" s="82" t="s">
        <v>191</v>
      </c>
      <c r="IN5" s="82" t="s">
        <v>192</v>
      </c>
      <c r="IO5" s="82" t="s">
        <v>193</v>
      </c>
      <c r="IP5" s="82" t="s">
        <v>194</v>
      </c>
      <c r="IQ5" s="82" t="s">
        <v>195</v>
      </c>
      <c r="IR5" s="89" t="s">
        <v>196</v>
      </c>
      <c r="IS5" s="92" t="s">
        <v>197</v>
      </c>
      <c r="IT5" s="82" t="s">
        <v>203</v>
      </c>
      <c r="IU5" s="82" t="s">
        <v>191</v>
      </c>
      <c r="IV5" s="82" t="s">
        <v>192</v>
      </c>
      <c r="IW5" s="82" t="s">
        <v>193</v>
      </c>
      <c r="IX5" s="82" t="s">
        <v>194</v>
      </c>
      <c r="IY5" s="82" t="s">
        <v>195</v>
      </c>
      <c r="IZ5" s="89" t="s">
        <v>196</v>
      </c>
      <c r="JA5" s="92" t="s">
        <v>197</v>
      </c>
      <c r="JB5" s="82" t="s">
        <v>203</v>
      </c>
      <c r="JC5" s="82" t="s">
        <v>191</v>
      </c>
      <c r="JD5" s="82" t="s">
        <v>192</v>
      </c>
      <c r="JE5" s="82" t="s">
        <v>193</v>
      </c>
      <c r="JF5" s="82" t="s">
        <v>194</v>
      </c>
      <c r="JG5" s="82" t="s">
        <v>195</v>
      </c>
      <c r="JH5" s="89" t="s">
        <v>196</v>
      </c>
      <c r="JI5" s="92" t="s">
        <v>197</v>
      </c>
      <c r="JJ5" s="82" t="s">
        <v>203</v>
      </c>
      <c r="JK5" s="82" t="s">
        <v>191</v>
      </c>
      <c r="JL5" s="82" t="s">
        <v>192</v>
      </c>
      <c r="JM5" s="82" t="s">
        <v>193</v>
      </c>
      <c r="JN5" s="82" t="s">
        <v>194</v>
      </c>
      <c r="JO5" s="82" t="s">
        <v>195</v>
      </c>
      <c r="JP5" s="89" t="s">
        <v>196</v>
      </c>
      <c r="JQ5" s="92" t="s">
        <v>197</v>
      </c>
      <c r="JR5" s="82" t="s">
        <v>203</v>
      </c>
      <c r="JS5" s="82" t="s">
        <v>191</v>
      </c>
      <c r="JT5" s="82" t="s">
        <v>192</v>
      </c>
      <c r="JU5" s="82" t="s">
        <v>193</v>
      </c>
      <c r="JV5" s="82" t="s">
        <v>194</v>
      </c>
      <c r="JW5" s="82" t="s">
        <v>195</v>
      </c>
      <c r="JX5" s="89" t="s">
        <v>196</v>
      </c>
      <c r="JY5" s="92" t="s">
        <v>197</v>
      </c>
      <c r="JZ5" s="82" t="s">
        <v>203</v>
      </c>
      <c r="KA5" s="82" t="s">
        <v>191</v>
      </c>
      <c r="KB5" s="82" t="s">
        <v>192</v>
      </c>
      <c r="KC5" s="82" t="s">
        <v>193</v>
      </c>
      <c r="KD5" s="82" t="s">
        <v>194</v>
      </c>
      <c r="KE5" s="82" t="s">
        <v>195</v>
      </c>
      <c r="KF5" s="89" t="s">
        <v>196</v>
      </c>
      <c r="KG5" s="92" t="s">
        <v>197</v>
      </c>
      <c r="KH5" s="82" t="s">
        <v>203</v>
      </c>
      <c r="KI5" s="82" t="s">
        <v>191</v>
      </c>
      <c r="KJ5" s="82" t="s">
        <v>192</v>
      </c>
      <c r="KK5" s="82" t="s">
        <v>193</v>
      </c>
      <c r="KL5" s="82" t="s">
        <v>194</v>
      </c>
      <c r="KM5" s="82" t="s">
        <v>195</v>
      </c>
      <c r="KN5" s="89" t="s">
        <v>196</v>
      </c>
      <c r="KO5" s="92" t="s">
        <v>197</v>
      </c>
      <c r="KP5" s="82" t="s">
        <v>203</v>
      </c>
      <c r="KQ5" s="82" t="s">
        <v>191</v>
      </c>
      <c r="KR5" s="82" t="s">
        <v>192</v>
      </c>
      <c r="KS5" s="82" t="s">
        <v>193</v>
      </c>
      <c r="KT5" s="82" t="s">
        <v>194</v>
      </c>
      <c r="KU5" s="82" t="s">
        <v>195</v>
      </c>
      <c r="KV5" s="98" t="s">
        <v>196</v>
      </c>
      <c r="KW5" s="90" t="s">
        <v>197</v>
      </c>
      <c r="KX5" s="82" t="s">
        <v>203</v>
      </c>
      <c r="KY5" s="82" t="s">
        <v>191</v>
      </c>
      <c r="KZ5" s="82" t="s">
        <v>192</v>
      </c>
      <c r="LA5" s="82" t="s">
        <v>193</v>
      </c>
      <c r="LB5" s="82" t="s">
        <v>194</v>
      </c>
      <c r="LC5" s="82" t="s">
        <v>195</v>
      </c>
      <c r="LD5" s="89" t="s">
        <v>196</v>
      </c>
      <c r="LE5" s="92" t="s">
        <v>197</v>
      </c>
      <c r="LF5" s="82" t="s">
        <v>203</v>
      </c>
      <c r="LG5" s="82" t="s">
        <v>191</v>
      </c>
      <c r="LH5" s="82" t="s">
        <v>192</v>
      </c>
      <c r="LI5" s="82" t="s">
        <v>193</v>
      </c>
      <c r="LJ5" s="82" t="s">
        <v>194</v>
      </c>
      <c r="LK5" s="82" t="s">
        <v>195</v>
      </c>
      <c r="LL5" s="89" t="s">
        <v>196</v>
      </c>
      <c r="LM5" s="92" t="s">
        <v>197</v>
      </c>
      <c r="LN5" s="82" t="s">
        <v>203</v>
      </c>
      <c r="LO5" s="82" t="s">
        <v>191</v>
      </c>
      <c r="LP5" s="82" t="s">
        <v>192</v>
      </c>
      <c r="LQ5" s="82" t="s">
        <v>193</v>
      </c>
      <c r="LR5" s="82" t="s">
        <v>194</v>
      </c>
      <c r="LS5" s="82" t="s">
        <v>195</v>
      </c>
      <c r="LT5" s="89" t="s">
        <v>196</v>
      </c>
      <c r="LU5" s="92" t="s">
        <v>197</v>
      </c>
      <c r="LV5" s="82" t="s">
        <v>203</v>
      </c>
      <c r="LW5" s="82" t="s">
        <v>191</v>
      </c>
      <c r="LX5" s="82" t="s">
        <v>192</v>
      </c>
      <c r="LY5" s="82" t="s">
        <v>193</v>
      </c>
      <c r="LZ5" s="82" t="s">
        <v>194</v>
      </c>
      <c r="MA5" s="82" t="s">
        <v>195</v>
      </c>
      <c r="MB5" s="89" t="s">
        <v>196</v>
      </c>
      <c r="MC5" s="92" t="s">
        <v>197</v>
      </c>
      <c r="MD5" s="82" t="s">
        <v>201</v>
      </c>
      <c r="ME5" s="82" t="s">
        <v>191</v>
      </c>
      <c r="MF5" s="82" t="s">
        <v>192</v>
      </c>
      <c r="MG5" s="82" t="s">
        <v>193</v>
      </c>
      <c r="MH5" s="82" t="s">
        <v>194</v>
      </c>
      <c r="MI5" s="82" t="s">
        <v>195</v>
      </c>
      <c r="MJ5" s="89" t="s">
        <v>196</v>
      </c>
      <c r="MK5" s="92" t="s">
        <v>197</v>
      </c>
      <c r="ML5" s="82" t="s">
        <v>201</v>
      </c>
      <c r="MM5" s="82" t="s">
        <v>33</v>
      </c>
      <c r="MN5" s="82" t="s">
        <v>34</v>
      </c>
      <c r="MO5" s="82" t="s">
        <v>35</v>
      </c>
      <c r="MP5" s="82" t="s">
        <v>36</v>
      </c>
      <c r="MQ5" s="82" t="s">
        <v>37</v>
      </c>
      <c r="MR5" s="133" t="s">
        <v>196</v>
      </c>
      <c r="MS5" s="92" t="s">
        <v>30</v>
      </c>
      <c r="MT5" s="82" t="s">
        <v>201</v>
      </c>
      <c r="MU5" s="82" t="s">
        <v>33</v>
      </c>
      <c r="MV5" s="82" t="s">
        <v>34</v>
      </c>
      <c r="MW5" s="82" t="s">
        <v>35</v>
      </c>
      <c r="MX5" s="82" t="s">
        <v>36</v>
      </c>
      <c r="MY5" s="82" t="s">
        <v>37</v>
      </c>
      <c r="MZ5" s="99" t="s">
        <v>196</v>
      </c>
      <c r="NA5" s="92" t="s">
        <v>30</v>
      </c>
      <c r="NB5" s="82" t="s">
        <v>201</v>
      </c>
      <c r="NC5" s="82" t="s">
        <v>33</v>
      </c>
      <c r="ND5" s="82" t="s">
        <v>34</v>
      </c>
      <c r="NE5" s="82" t="s">
        <v>35</v>
      </c>
      <c r="NF5" s="82" t="s">
        <v>36</v>
      </c>
      <c r="NG5" s="82" t="s">
        <v>37</v>
      </c>
      <c r="NH5" s="99" t="s">
        <v>196</v>
      </c>
      <c r="NI5" s="92" t="s">
        <v>30</v>
      </c>
      <c r="NJ5" s="279" t="s">
        <v>201</v>
      </c>
      <c r="NK5" s="279" t="s">
        <v>33</v>
      </c>
      <c r="NL5" s="279" t="s">
        <v>34</v>
      </c>
      <c r="NM5" s="279" t="s">
        <v>35</v>
      </c>
      <c r="NN5" s="279" t="s">
        <v>36</v>
      </c>
      <c r="NO5" s="279" t="s">
        <v>37</v>
      </c>
      <c r="NP5" s="282" t="s">
        <v>196</v>
      </c>
      <c r="NQ5" s="283" t="s">
        <v>30</v>
      </c>
      <c r="NR5" s="279" t="s">
        <v>201</v>
      </c>
      <c r="NS5" s="279" t="s">
        <v>33</v>
      </c>
      <c r="NT5" s="279" t="s">
        <v>34</v>
      </c>
      <c r="NU5" s="279" t="s">
        <v>35</v>
      </c>
      <c r="NV5" s="279" t="s">
        <v>36</v>
      </c>
      <c r="NW5" s="279" t="s">
        <v>37</v>
      </c>
      <c r="NX5" s="282" t="s">
        <v>196</v>
      </c>
      <c r="NY5" s="283" t="s">
        <v>30</v>
      </c>
      <c r="NZ5" s="279" t="s">
        <v>201</v>
      </c>
      <c r="OA5" s="279" t="s">
        <v>33</v>
      </c>
      <c r="OB5" s="279" t="s">
        <v>34</v>
      </c>
      <c r="OC5" s="279" t="s">
        <v>35</v>
      </c>
      <c r="OD5" s="279" t="s">
        <v>36</v>
      </c>
      <c r="OE5" s="279" t="s">
        <v>37</v>
      </c>
      <c r="OF5" s="282" t="s">
        <v>196</v>
      </c>
      <c r="OG5" s="283" t="s">
        <v>30</v>
      </c>
      <c r="OH5" s="279" t="s">
        <v>201</v>
      </c>
      <c r="OI5" s="279" t="s">
        <v>33</v>
      </c>
      <c r="OJ5" s="279" t="s">
        <v>34</v>
      </c>
      <c r="OK5" s="279" t="s">
        <v>35</v>
      </c>
      <c r="OL5" s="279" t="s">
        <v>36</v>
      </c>
      <c r="OM5" s="279" t="s">
        <v>37</v>
      </c>
      <c r="ON5" s="282" t="s">
        <v>196</v>
      </c>
      <c r="OO5" s="283" t="s">
        <v>30</v>
      </c>
      <c r="OP5" s="279" t="s">
        <v>201</v>
      </c>
      <c r="OQ5" s="279" t="s">
        <v>33</v>
      </c>
      <c r="OR5" s="279" t="s">
        <v>34</v>
      </c>
      <c r="OS5" s="279" t="s">
        <v>35</v>
      </c>
      <c r="OT5" s="279" t="s">
        <v>36</v>
      </c>
      <c r="OU5" s="279" t="s">
        <v>37</v>
      </c>
      <c r="OV5" s="282" t="s">
        <v>196</v>
      </c>
      <c r="OW5" s="283" t="s">
        <v>30</v>
      </c>
      <c r="OX5" s="279" t="s">
        <v>201</v>
      </c>
      <c r="OY5" s="279" t="s">
        <v>33</v>
      </c>
      <c r="OZ5" s="279" t="s">
        <v>34</v>
      </c>
      <c r="PA5" s="279" t="s">
        <v>35</v>
      </c>
      <c r="PB5" s="279" t="s">
        <v>36</v>
      </c>
      <c r="PC5" s="279" t="s">
        <v>37</v>
      </c>
      <c r="PD5" s="282" t="s">
        <v>196</v>
      </c>
      <c r="PE5" s="283" t="s">
        <v>30</v>
      </c>
      <c r="PF5" s="279" t="s">
        <v>201</v>
      </c>
      <c r="PG5" s="279" t="s">
        <v>33</v>
      </c>
      <c r="PH5" s="279" t="s">
        <v>34</v>
      </c>
      <c r="PI5" s="279" t="s">
        <v>35</v>
      </c>
      <c r="PJ5" s="279" t="s">
        <v>36</v>
      </c>
      <c r="PK5" s="279" t="s">
        <v>37</v>
      </c>
      <c r="PL5" s="282" t="s">
        <v>196</v>
      </c>
      <c r="PM5" s="283" t="s">
        <v>30</v>
      </c>
      <c r="PN5" s="279" t="s">
        <v>201</v>
      </c>
      <c r="PO5" s="279" t="s">
        <v>33</v>
      </c>
      <c r="PP5" s="279" t="s">
        <v>34</v>
      </c>
      <c r="PQ5" s="279" t="s">
        <v>35</v>
      </c>
      <c r="PR5" s="279" t="s">
        <v>36</v>
      </c>
      <c r="PS5" s="279" t="s">
        <v>37</v>
      </c>
      <c r="PT5" s="282" t="s">
        <v>196</v>
      </c>
      <c r="PU5" s="283" t="s">
        <v>30</v>
      </c>
      <c r="PV5" s="279" t="s">
        <v>201</v>
      </c>
      <c r="PW5" s="279" t="s">
        <v>33</v>
      </c>
      <c r="PX5" s="279" t="s">
        <v>34</v>
      </c>
      <c r="PY5" s="279" t="s">
        <v>35</v>
      </c>
      <c r="PZ5" s="279" t="s">
        <v>36</v>
      </c>
      <c r="QA5" s="279" t="s">
        <v>37</v>
      </c>
      <c r="QB5" s="280" t="s">
        <v>196</v>
      </c>
      <c r="QC5" s="281" t="s">
        <v>30</v>
      </c>
      <c r="QD5" s="279" t="s">
        <v>201</v>
      </c>
      <c r="QE5" s="279" t="s">
        <v>33</v>
      </c>
      <c r="QF5" s="279" t="s">
        <v>34</v>
      </c>
      <c r="QG5" s="279" t="s">
        <v>35</v>
      </c>
      <c r="QH5" s="279" t="s">
        <v>36</v>
      </c>
      <c r="QI5" s="279" t="s">
        <v>37</v>
      </c>
      <c r="QJ5" s="282" t="s">
        <v>196</v>
      </c>
      <c r="QK5" s="283" t="s">
        <v>30</v>
      </c>
      <c r="QL5" s="279" t="s">
        <v>201</v>
      </c>
      <c r="QM5" s="279" t="s">
        <v>33</v>
      </c>
      <c r="QN5" s="279" t="s">
        <v>34</v>
      </c>
      <c r="QO5" s="279" t="s">
        <v>35</v>
      </c>
      <c r="QP5" s="279" t="s">
        <v>36</v>
      </c>
      <c r="QQ5" s="279" t="s">
        <v>37</v>
      </c>
      <c r="QR5" s="282" t="s">
        <v>196</v>
      </c>
      <c r="QS5" s="283" t="s">
        <v>30</v>
      </c>
      <c r="QT5" s="279" t="s">
        <v>201</v>
      </c>
      <c r="QU5" s="279" t="s">
        <v>33</v>
      </c>
      <c r="QV5" s="279" t="s">
        <v>34</v>
      </c>
      <c r="QW5" s="279" t="s">
        <v>35</v>
      </c>
      <c r="QX5" s="279" t="s">
        <v>36</v>
      </c>
      <c r="QY5" s="279" t="s">
        <v>37</v>
      </c>
      <c r="QZ5" s="282" t="s">
        <v>196</v>
      </c>
      <c r="RA5" s="283" t="s">
        <v>30</v>
      </c>
      <c r="RB5" s="279" t="s">
        <v>201</v>
      </c>
      <c r="RC5" s="279" t="s">
        <v>33</v>
      </c>
      <c r="RD5" s="279" t="s">
        <v>34</v>
      </c>
      <c r="RE5" s="279" t="s">
        <v>35</v>
      </c>
      <c r="RF5" s="279" t="s">
        <v>36</v>
      </c>
      <c r="RG5" s="279" t="s">
        <v>37</v>
      </c>
      <c r="RH5" s="282" t="s">
        <v>196</v>
      </c>
      <c r="RI5" s="283" t="s">
        <v>30</v>
      </c>
      <c r="RJ5" s="279" t="s">
        <v>201</v>
      </c>
      <c r="RK5" s="279" t="s">
        <v>33</v>
      </c>
      <c r="RL5" s="279" t="s">
        <v>34</v>
      </c>
      <c r="RM5" s="279" t="s">
        <v>35</v>
      </c>
      <c r="RN5" s="279" t="s">
        <v>36</v>
      </c>
      <c r="RO5" s="279" t="s">
        <v>37</v>
      </c>
      <c r="RP5" s="282" t="s">
        <v>196</v>
      </c>
      <c r="RQ5" s="283" t="s">
        <v>30</v>
      </c>
      <c r="RR5" s="279" t="s">
        <v>201</v>
      </c>
      <c r="RS5" s="279" t="s">
        <v>33</v>
      </c>
      <c r="RT5" s="279" t="s">
        <v>34</v>
      </c>
      <c r="RU5" s="279" t="s">
        <v>35</v>
      </c>
      <c r="RV5" s="279" t="s">
        <v>36</v>
      </c>
      <c r="RW5" s="279" t="s">
        <v>37</v>
      </c>
      <c r="RX5" s="282" t="s">
        <v>196</v>
      </c>
      <c r="RY5" s="283" t="s">
        <v>30</v>
      </c>
      <c r="RZ5" s="279" t="s">
        <v>201</v>
      </c>
      <c r="SA5" s="279" t="s">
        <v>33</v>
      </c>
      <c r="SB5" s="279" t="s">
        <v>34</v>
      </c>
      <c r="SC5" s="279" t="s">
        <v>35</v>
      </c>
      <c r="SD5" s="279" t="s">
        <v>36</v>
      </c>
      <c r="SE5" s="279" t="s">
        <v>37</v>
      </c>
      <c r="SF5" s="282" t="s">
        <v>196</v>
      </c>
      <c r="SG5" s="283" t="s">
        <v>30</v>
      </c>
      <c r="SH5" s="279" t="s">
        <v>201</v>
      </c>
      <c r="SI5" s="279" t="s">
        <v>33</v>
      </c>
      <c r="SJ5" s="279" t="s">
        <v>34</v>
      </c>
      <c r="SK5" s="279" t="s">
        <v>35</v>
      </c>
      <c r="SL5" s="279" t="s">
        <v>36</v>
      </c>
      <c r="SM5" s="279" t="s">
        <v>37</v>
      </c>
      <c r="SN5" s="282" t="s">
        <v>196</v>
      </c>
      <c r="SO5" s="283" t="s">
        <v>30</v>
      </c>
      <c r="SP5" s="38" t="s">
        <v>201</v>
      </c>
      <c r="SQ5" s="38" t="s">
        <v>33</v>
      </c>
      <c r="SR5" s="38" t="s">
        <v>34</v>
      </c>
      <c r="SS5" s="38" t="s">
        <v>35</v>
      </c>
      <c r="ST5" s="38" t="s">
        <v>36</v>
      </c>
      <c r="SU5" s="38" t="s">
        <v>37</v>
      </c>
      <c r="SV5" s="93" t="s">
        <v>196</v>
      </c>
      <c r="SW5" s="94" t="s">
        <v>30</v>
      </c>
      <c r="SX5" s="38" t="s">
        <v>201</v>
      </c>
      <c r="SY5" s="38" t="s">
        <v>33</v>
      </c>
      <c r="SZ5" s="38" t="s">
        <v>34</v>
      </c>
      <c r="TA5" s="38" t="s">
        <v>35</v>
      </c>
      <c r="TB5" s="38" t="s">
        <v>36</v>
      </c>
      <c r="TC5" s="38" t="s">
        <v>37</v>
      </c>
      <c r="TD5" s="93" t="s">
        <v>196</v>
      </c>
      <c r="TE5" s="94" t="s">
        <v>30</v>
      </c>
      <c r="TF5" s="38" t="s">
        <v>201</v>
      </c>
      <c r="TG5" s="38" t="s">
        <v>33</v>
      </c>
      <c r="TH5" s="38" t="s">
        <v>34</v>
      </c>
      <c r="TI5" s="38" t="s">
        <v>35</v>
      </c>
      <c r="TJ5" s="38" t="s">
        <v>36</v>
      </c>
      <c r="TK5" s="38" t="s">
        <v>37</v>
      </c>
      <c r="TL5" s="93" t="s">
        <v>196</v>
      </c>
      <c r="TM5" s="94" t="s">
        <v>30</v>
      </c>
      <c r="TN5" s="38" t="s">
        <v>201</v>
      </c>
      <c r="TO5" s="38" t="s">
        <v>33</v>
      </c>
      <c r="TP5" s="38" t="s">
        <v>34</v>
      </c>
      <c r="TQ5" s="38" t="s">
        <v>35</v>
      </c>
      <c r="TR5" s="38" t="s">
        <v>36</v>
      </c>
      <c r="TS5" s="38" t="s">
        <v>37</v>
      </c>
      <c r="TT5" s="93" t="s">
        <v>196</v>
      </c>
      <c r="TU5" s="94" t="s">
        <v>30</v>
      </c>
      <c r="TV5" s="38" t="s">
        <v>201</v>
      </c>
      <c r="TW5" s="38" t="s">
        <v>33</v>
      </c>
      <c r="TX5" s="38" t="s">
        <v>34</v>
      </c>
      <c r="TY5" s="38" t="s">
        <v>35</v>
      </c>
      <c r="TZ5" s="38" t="s">
        <v>36</v>
      </c>
      <c r="UA5" s="38" t="s">
        <v>37</v>
      </c>
      <c r="UB5" s="93" t="s">
        <v>196</v>
      </c>
      <c r="UC5" s="94" t="s">
        <v>30</v>
      </c>
      <c r="UD5" s="38" t="s">
        <v>201</v>
      </c>
      <c r="UE5" s="38" t="s">
        <v>33</v>
      </c>
      <c r="UF5" s="38" t="s">
        <v>34</v>
      </c>
      <c r="UG5" s="38" t="s">
        <v>35</v>
      </c>
      <c r="UH5" s="38" t="s">
        <v>36</v>
      </c>
      <c r="UI5" s="38" t="s">
        <v>37</v>
      </c>
      <c r="UJ5" s="93" t="s">
        <v>196</v>
      </c>
      <c r="UK5" s="94" t="s">
        <v>30</v>
      </c>
      <c r="UL5" s="38" t="s">
        <v>201</v>
      </c>
      <c r="UM5" s="38" t="s">
        <v>33</v>
      </c>
      <c r="UN5" s="38" t="s">
        <v>34</v>
      </c>
      <c r="UO5" s="38" t="s">
        <v>35</v>
      </c>
      <c r="UP5" s="38" t="s">
        <v>36</v>
      </c>
      <c r="UQ5" s="38" t="s">
        <v>37</v>
      </c>
      <c r="UR5" s="93" t="s">
        <v>196</v>
      </c>
      <c r="US5" s="94" t="s">
        <v>30</v>
      </c>
      <c r="UT5" s="38" t="s">
        <v>201</v>
      </c>
      <c r="UU5" s="38" t="s">
        <v>33</v>
      </c>
      <c r="UV5" s="38" t="s">
        <v>34</v>
      </c>
      <c r="UW5" s="38" t="s">
        <v>35</v>
      </c>
      <c r="UX5" s="38" t="s">
        <v>36</v>
      </c>
      <c r="UY5" s="38" t="s">
        <v>37</v>
      </c>
      <c r="UZ5" s="93" t="s">
        <v>196</v>
      </c>
      <c r="VA5" s="94" t="s">
        <v>30</v>
      </c>
      <c r="VB5" s="38" t="s">
        <v>201</v>
      </c>
      <c r="VC5" s="38" t="s">
        <v>33</v>
      </c>
      <c r="VD5" s="38" t="s">
        <v>34</v>
      </c>
      <c r="VE5" s="38" t="s">
        <v>35</v>
      </c>
      <c r="VF5" s="38" t="s">
        <v>36</v>
      </c>
      <c r="VG5" s="38" t="s">
        <v>37</v>
      </c>
      <c r="VH5" s="286" t="s">
        <v>196</v>
      </c>
      <c r="VI5" s="287" t="s">
        <v>30</v>
      </c>
      <c r="VJ5" s="38" t="s">
        <v>201</v>
      </c>
      <c r="VK5" s="38" t="s">
        <v>33</v>
      </c>
      <c r="VL5" s="38" t="s">
        <v>34</v>
      </c>
      <c r="VM5" s="38" t="s">
        <v>35</v>
      </c>
      <c r="VN5" s="38" t="s">
        <v>36</v>
      </c>
      <c r="VO5" s="38" t="s">
        <v>37</v>
      </c>
      <c r="VP5" s="93" t="s">
        <v>196</v>
      </c>
      <c r="VQ5" s="94" t="s">
        <v>30</v>
      </c>
      <c r="VR5" s="38" t="s">
        <v>201</v>
      </c>
      <c r="VS5" s="38" t="s">
        <v>33</v>
      </c>
      <c r="VT5" s="38" t="s">
        <v>34</v>
      </c>
      <c r="VU5" s="38" t="s">
        <v>35</v>
      </c>
      <c r="VV5" s="38" t="s">
        <v>36</v>
      </c>
      <c r="VW5" s="38" t="s">
        <v>37</v>
      </c>
      <c r="VX5" s="93" t="s">
        <v>196</v>
      </c>
      <c r="VY5" s="94" t="s">
        <v>30</v>
      </c>
      <c r="VZ5" s="38" t="s">
        <v>201</v>
      </c>
      <c r="WA5" s="38" t="s">
        <v>33</v>
      </c>
      <c r="WB5" s="38" t="s">
        <v>34</v>
      </c>
      <c r="WC5" s="38" t="s">
        <v>35</v>
      </c>
      <c r="WD5" s="38" t="s">
        <v>36</v>
      </c>
      <c r="WE5" s="38" t="s">
        <v>37</v>
      </c>
      <c r="WF5" s="93" t="s">
        <v>196</v>
      </c>
      <c r="WG5" s="94" t="s">
        <v>30</v>
      </c>
      <c r="WH5" s="38" t="s">
        <v>201</v>
      </c>
      <c r="WI5" s="38" t="s">
        <v>33</v>
      </c>
      <c r="WJ5" s="38" t="s">
        <v>34</v>
      </c>
      <c r="WK5" s="38" t="s">
        <v>35</v>
      </c>
      <c r="WL5" s="38" t="s">
        <v>36</v>
      </c>
      <c r="WM5" s="38" t="s">
        <v>37</v>
      </c>
      <c r="WN5" s="93" t="s">
        <v>196</v>
      </c>
      <c r="WO5" s="94" t="s">
        <v>30</v>
      </c>
      <c r="WP5" s="38" t="s">
        <v>201</v>
      </c>
      <c r="WQ5" s="38" t="s">
        <v>33</v>
      </c>
      <c r="WR5" s="38" t="s">
        <v>34</v>
      </c>
      <c r="WS5" s="38" t="s">
        <v>35</v>
      </c>
      <c r="WT5" s="38" t="s">
        <v>36</v>
      </c>
      <c r="WU5" s="38" t="s">
        <v>37</v>
      </c>
      <c r="WV5" s="93" t="s">
        <v>196</v>
      </c>
      <c r="WW5" s="94" t="s">
        <v>30</v>
      </c>
      <c r="WX5" s="38" t="s">
        <v>201</v>
      </c>
      <c r="WY5" s="38" t="s">
        <v>33</v>
      </c>
      <c r="WZ5" s="38" t="s">
        <v>34</v>
      </c>
      <c r="XA5" s="38" t="s">
        <v>35</v>
      </c>
      <c r="XB5" s="38" t="s">
        <v>36</v>
      </c>
      <c r="XC5" s="38" t="s">
        <v>37</v>
      </c>
      <c r="XD5" s="93" t="s">
        <v>196</v>
      </c>
      <c r="XE5" s="94" t="s">
        <v>30</v>
      </c>
      <c r="XF5" s="38" t="s">
        <v>201</v>
      </c>
      <c r="XG5" s="38" t="s">
        <v>33</v>
      </c>
      <c r="XH5" s="38" t="s">
        <v>34</v>
      </c>
      <c r="XI5" s="38" t="s">
        <v>35</v>
      </c>
      <c r="XJ5" s="38" t="s">
        <v>36</v>
      </c>
      <c r="XK5" s="38" t="s">
        <v>37</v>
      </c>
      <c r="XL5" s="93" t="s">
        <v>196</v>
      </c>
      <c r="XM5" s="94" t="s">
        <v>30</v>
      </c>
      <c r="XN5" s="38" t="s">
        <v>201</v>
      </c>
      <c r="XO5" s="38" t="s">
        <v>33</v>
      </c>
      <c r="XP5" s="38" t="s">
        <v>34</v>
      </c>
      <c r="XQ5" s="38" t="s">
        <v>35</v>
      </c>
      <c r="XR5" s="38" t="s">
        <v>36</v>
      </c>
      <c r="XS5" s="38" t="s">
        <v>37</v>
      </c>
      <c r="XT5" s="93" t="s">
        <v>196</v>
      </c>
      <c r="XU5" s="94" t="s">
        <v>30</v>
      </c>
      <c r="XV5" s="285" t="s">
        <v>230</v>
      </c>
      <c r="XW5" s="91" t="s">
        <v>283</v>
      </c>
      <c r="XX5" s="91" t="s">
        <v>280</v>
      </c>
      <c r="XY5" s="91" t="s">
        <v>253</v>
      </c>
      <c r="XZ5" s="91" t="s">
        <v>280</v>
      </c>
      <c r="YA5" s="91" t="s">
        <v>287</v>
      </c>
      <c r="YB5" s="91" t="s">
        <v>280</v>
      </c>
      <c r="YC5" s="91" t="s">
        <v>281</v>
      </c>
      <c r="YD5" s="91" t="s">
        <v>280</v>
      </c>
      <c r="YE5" s="91" t="s">
        <v>288</v>
      </c>
      <c r="YF5" s="91" t="s">
        <v>280</v>
      </c>
      <c r="YG5" s="91" t="s">
        <v>283</v>
      </c>
      <c r="YH5" s="91" t="s">
        <v>280</v>
      </c>
      <c r="YI5" s="91" t="s">
        <v>253</v>
      </c>
      <c r="YJ5" s="91" t="s">
        <v>280</v>
      </c>
      <c r="YK5" s="91" t="s">
        <v>531</v>
      </c>
      <c r="YL5" s="91" t="s">
        <v>280</v>
      </c>
      <c r="YM5" s="91" t="s">
        <v>253</v>
      </c>
      <c r="YN5" s="91" t="s">
        <v>280</v>
      </c>
      <c r="YO5" s="91" t="s">
        <v>281</v>
      </c>
      <c r="YP5" s="91" t="s">
        <v>280</v>
      </c>
      <c r="YQ5" s="91" t="s">
        <v>288</v>
      </c>
      <c r="YR5" s="91" t="s">
        <v>280</v>
      </c>
      <c r="YS5" s="91" t="s">
        <v>282</v>
      </c>
      <c r="YT5" s="91" t="s">
        <v>280</v>
      </c>
      <c r="YU5" s="91" t="s">
        <v>157</v>
      </c>
      <c r="YV5" s="91" t="s">
        <v>280</v>
      </c>
      <c r="YW5" s="91" t="s">
        <v>533</v>
      </c>
      <c r="YX5" s="91" t="s">
        <v>280</v>
      </c>
      <c r="YY5" s="302" t="s">
        <v>283</v>
      </c>
      <c r="YZ5" s="302" t="s">
        <v>280</v>
      </c>
      <c r="ZA5" s="302" t="s">
        <v>253</v>
      </c>
      <c r="ZB5" s="302" t="s">
        <v>280</v>
      </c>
      <c r="ZC5" s="302" t="s">
        <v>284</v>
      </c>
      <c r="ZD5" s="302" t="s">
        <v>280</v>
      </c>
      <c r="ZE5" s="302" t="s">
        <v>281</v>
      </c>
      <c r="ZF5" s="302" t="s">
        <v>280</v>
      </c>
      <c r="ZG5" s="302" t="s">
        <v>288</v>
      </c>
      <c r="ZH5" s="302" t="s">
        <v>280</v>
      </c>
      <c r="ZI5" s="302" t="s">
        <v>283</v>
      </c>
      <c r="ZJ5" s="302" t="s">
        <v>280</v>
      </c>
      <c r="ZK5" s="302" t="s">
        <v>253</v>
      </c>
      <c r="ZL5" s="302" t="s">
        <v>280</v>
      </c>
      <c r="ZM5" s="302" t="s">
        <v>531</v>
      </c>
      <c r="ZN5" s="302" t="s">
        <v>280</v>
      </c>
      <c r="ZO5" s="302" t="s">
        <v>253</v>
      </c>
      <c r="ZP5" s="302" t="s">
        <v>280</v>
      </c>
      <c r="ZQ5" s="302" t="s">
        <v>281</v>
      </c>
      <c r="ZR5" s="302" t="s">
        <v>280</v>
      </c>
      <c r="ZS5" s="302" t="s">
        <v>288</v>
      </c>
      <c r="ZT5" s="302" t="s">
        <v>280</v>
      </c>
      <c r="ZU5" s="302" t="s">
        <v>282</v>
      </c>
      <c r="ZV5" s="302" t="s">
        <v>280</v>
      </c>
      <c r="ZW5" s="302" t="s">
        <v>157</v>
      </c>
      <c r="ZX5" s="302" t="s">
        <v>280</v>
      </c>
      <c r="ZY5" s="302" t="s">
        <v>533</v>
      </c>
      <c r="ZZ5" s="302" t="s">
        <v>280</v>
      </c>
      <c r="AAA5" s="285" t="s">
        <v>283</v>
      </c>
      <c r="AAB5" s="285" t="s">
        <v>280</v>
      </c>
      <c r="AAC5" s="285" t="s">
        <v>253</v>
      </c>
      <c r="AAD5" s="285" t="s">
        <v>280</v>
      </c>
      <c r="AAE5" s="285" t="s">
        <v>284</v>
      </c>
      <c r="AAF5" s="285" t="s">
        <v>280</v>
      </c>
      <c r="AAG5" s="285" t="s">
        <v>281</v>
      </c>
      <c r="AAH5" s="285" t="s">
        <v>280</v>
      </c>
      <c r="AAI5" s="285" t="s">
        <v>288</v>
      </c>
      <c r="AAJ5" s="285" t="s">
        <v>280</v>
      </c>
      <c r="AAK5" s="285" t="s">
        <v>283</v>
      </c>
      <c r="AAL5" s="285" t="s">
        <v>280</v>
      </c>
      <c r="AAM5" s="285" t="s">
        <v>253</v>
      </c>
      <c r="AAN5" s="285" t="s">
        <v>280</v>
      </c>
      <c r="AAO5" s="285" t="s">
        <v>531</v>
      </c>
      <c r="AAP5" s="285" t="s">
        <v>280</v>
      </c>
      <c r="AAQ5" s="285" t="s">
        <v>253</v>
      </c>
      <c r="AAR5" s="285" t="s">
        <v>280</v>
      </c>
      <c r="AAS5" s="285" t="s">
        <v>281</v>
      </c>
      <c r="AAT5" s="285" t="s">
        <v>280</v>
      </c>
      <c r="AAU5" s="285" t="s">
        <v>288</v>
      </c>
      <c r="AAV5" s="285" t="s">
        <v>280</v>
      </c>
      <c r="AAW5" s="285" t="s">
        <v>282</v>
      </c>
      <c r="AAX5" s="285" t="s">
        <v>280</v>
      </c>
      <c r="AAY5" s="285" t="s">
        <v>157</v>
      </c>
      <c r="AAZ5" s="285" t="s">
        <v>280</v>
      </c>
      <c r="ABA5" s="285" t="s">
        <v>533</v>
      </c>
      <c r="ABB5" s="285" t="s">
        <v>280</v>
      </c>
    </row>
    <row r="6" spans="1:730" ht="26.15" customHeight="1">
      <c r="A6" s="323">
        <f>調査票!E13</f>
        <v>0</v>
      </c>
      <c r="B6" s="324" t="str">
        <f>調査票!M9</f>
        <v>令和　　年　　月　　日</v>
      </c>
      <c r="C6" s="323">
        <f>調査票!E14</f>
        <v>0</v>
      </c>
      <c r="D6" s="323">
        <f>調査票!M14</f>
        <v>0</v>
      </c>
      <c r="E6" s="323">
        <f>調査票!E15</f>
        <v>0</v>
      </c>
      <c r="F6" s="323">
        <f>調査票!M15</f>
        <v>0</v>
      </c>
      <c r="G6" s="319">
        <f>調査票!E22</f>
        <v>0</v>
      </c>
      <c r="H6" s="319">
        <f>調査票!E23</f>
        <v>0</v>
      </c>
      <c r="I6" s="319">
        <f>調査票!E24</f>
        <v>0</v>
      </c>
      <c r="J6" s="320">
        <f>調査票!E25</f>
        <v>0</v>
      </c>
      <c r="K6" s="321">
        <f>調査票!E26</f>
        <v>0</v>
      </c>
      <c r="L6" s="322">
        <f>調査票!E27</f>
        <v>0</v>
      </c>
      <c r="M6" s="319">
        <f>調査票!G22</f>
        <v>0</v>
      </c>
      <c r="N6" s="319">
        <f>調査票!G23</f>
        <v>0</v>
      </c>
      <c r="O6" s="319">
        <f>調査票!G24</f>
        <v>0</v>
      </c>
      <c r="P6" s="320">
        <f>調査票!G25</f>
        <v>0</v>
      </c>
      <c r="Q6" s="321">
        <f>調査票!G26</f>
        <v>0</v>
      </c>
      <c r="R6" s="319">
        <f>調査票!G27</f>
        <v>0</v>
      </c>
      <c r="S6" s="319">
        <f>調査票!I22</f>
        <v>0</v>
      </c>
      <c r="T6" s="319">
        <f>調査票!I23</f>
        <v>0</v>
      </c>
      <c r="U6" s="319">
        <f>調査票!I24</f>
        <v>0</v>
      </c>
      <c r="V6" s="320">
        <f>調査票!I25</f>
        <v>0</v>
      </c>
      <c r="W6" s="321">
        <f>調査票!I26</f>
        <v>0</v>
      </c>
      <c r="X6" s="319">
        <f>調査票!I27</f>
        <v>0</v>
      </c>
      <c r="Y6" s="319">
        <f>調査票!K22</f>
        <v>0</v>
      </c>
      <c r="Z6" s="319">
        <f>調査票!K23</f>
        <v>0</v>
      </c>
      <c r="AA6" s="319">
        <f>調査票!K24</f>
        <v>0</v>
      </c>
      <c r="AB6" s="320">
        <f>調査票!K25</f>
        <v>0</v>
      </c>
      <c r="AC6" s="321">
        <f>調査票!K26</f>
        <v>0</v>
      </c>
      <c r="AD6" s="319">
        <f>調査票!K27</f>
        <v>0</v>
      </c>
      <c r="AE6" s="319">
        <f>調査票!M22</f>
        <v>0</v>
      </c>
      <c r="AF6" s="319">
        <f>調査票!M23</f>
        <v>0</v>
      </c>
      <c r="AG6" s="319">
        <f>調査票!M24</f>
        <v>0</v>
      </c>
      <c r="AH6" s="320">
        <f>調査票!M25</f>
        <v>0</v>
      </c>
      <c r="AI6" s="321">
        <f>調査票!M26</f>
        <v>0</v>
      </c>
      <c r="AJ6" s="319">
        <f>調査票!M27</f>
        <v>0</v>
      </c>
      <c r="AK6" s="319">
        <f>調査票!O22</f>
        <v>0</v>
      </c>
      <c r="AL6" s="319">
        <f>調査票!O23</f>
        <v>0</v>
      </c>
      <c r="AM6" s="319">
        <f>調査票!O24</f>
        <v>0</v>
      </c>
      <c r="AN6" s="320">
        <f>調査票!O25</f>
        <v>0</v>
      </c>
      <c r="AO6" s="321">
        <f>調査票!O26</f>
        <v>0</v>
      </c>
      <c r="AP6" s="319">
        <f>調査票!O27</f>
        <v>0</v>
      </c>
      <c r="AQ6" s="319">
        <f>調査票!A34</f>
        <v>0</v>
      </c>
      <c r="AR6" s="319">
        <f>調査票!C34</f>
        <v>0</v>
      </c>
      <c r="AS6" s="319">
        <f>調査票!E34</f>
        <v>0</v>
      </c>
      <c r="AT6" s="319">
        <f>調査票!G34</f>
        <v>0</v>
      </c>
      <c r="AU6" s="320">
        <f>調査票!I34</f>
        <v>0</v>
      </c>
      <c r="AV6" s="321">
        <f>調査票!K34</f>
        <v>0</v>
      </c>
      <c r="AW6" s="325">
        <f>調査票!A37</f>
        <v>0</v>
      </c>
      <c r="AX6" s="319">
        <f>調査票!G41</f>
        <v>0</v>
      </c>
      <c r="AY6" s="319">
        <f>調査票!I41</f>
        <v>0</v>
      </c>
      <c r="AZ6" s="319">
        <f>調査票!K41</f>
        <v>0</v>
      </c>
      <c r="BA6" s="320">
        <f>調査票!M41</f>
        <v>0</v>
      </c>
      <c r="BB6" s="321">
        <f>調査票!O41</f>
        <v>0</v>
      </c>
      <c r="BC6" s="319">
        <f>調査票!G42</f>
        <v>0</v>
      </c>
      <c r="BD6" s="319">
        <f>調査票!I42</f>
        <v>0</v>
      </c>
      <c r="BE6" s="319">
        <f>調査票!K42</f>
        <v>0</v>
      </c>
      <c r="BF6" s="320">
        <f>調査票!M42</f>
        <v>0</v>
      </c>
      <c r="BG6" s="321">
        <f>調査票!O42</f>
        <v>0</v>
      </c>
      <c r="BH6" s="319">
        <f>AX6+BC6</f>
        <v>0</v>
      </c>
      <c r="BI6" s="319">
        <f>AY6+BD6</f>
        <v>0</v>
      </c>
      <c r="BJ6" s="319">
        <f>AZ6+BE6</f>
        <v>0</v>
      </c>
      <c r="BK6" s="320">
        <f>BA6+BF6</f>
        <v>0</v>
      </c>
      <c r="BL6" s="321">
        <f>BB6+BG6</f>
        <v>0</v>
      </c>
      <c r="BM6" s="324">
        <f>調査票!B46</f>
        <v>0</v>
      </c>
      <c r="BN6" s="319">
        <f>調査票!B47</f>
        <v>0</v>
      </c>
      <c r="BO6" s="319">
        <f>調査票!B48</f>
        <v>0</v>
      </c>
      <c r="BP6" s="326">
        <f>調査票!G52</f>
        <v>0</v>
      </c>
      <c r="BQ6" s="326">
        <f>調査票!I52</f>
        <v>0</v>
      </c>
      <c r="BR6" s="326">
        <f>調査票!K52</f>
        <v>0</v>
      </c>
      <c r="BS6" s="326">
        <f>調査票!M52</f>
        <v>0</v>
      </c>
      <c r="BT6" s="327">
        <f>調査票!O52</f>
        <v>0</v>
      </c>
      <c r="BU6" s="326">
        <f>調査票!G53</f>
        <v>0</v>
      </c>
      <c r="BV6" s="326">
        <f>調査票!I53</f>
        <v>0</v>
      </c>
      <c r="BW6" s="326">
        <f>調査票!K53</f>
        <v>0</v>
      </c>
      <c r="BX6" s="326">
        <f>調査票!M53</f>
        <v>0</v>
      </c>
      <c r="BY6" s="327">
        <f>調査票!O53</f>
        <v>0</v>
      </c>
      <c r="BZ6" s="326">
        <f>BP6+BU6</f>
        <v>0</v>
      </c>
      <c r="CA6" s="326">
        <f>BQ6+BV6</f>
        <v>0</v>
      </c>
      <c r="CB6" s="326">
        <f>BR6+BW6</f>
        <v>0</v>
      </c>
      <c r="CC6" s="326">
        <f>BS6+BX6</f>
        <v>0</v>
      </c>
      <c r="CD6" s="327">
        <f>BT6+BY6</f>
        <v>0</v>
      </c>
      <c r="CE6" s="326">
        <f>COUNTIFS(調査票!$D$60:$D$69,"保健師",調査票!$G$60:$G$69,"正規雇用")</f>
        <v>0</v>
      </c>
      <c r="CF6" s="328">
        <f>COUNTIFS(調査票!$D$60:$D$69,"保健師",調査票!$G$60:$G$69,"正規雇用",調査票!$K$60:$K$69,"新卒（県外養成所）")+COUNTIFS(調査票!$D$60:$D$69,"保健師",調査票!$G$60:$G$69,"正規雇用",調査票!$K$60:$K$69,"既卒（県外に居住又は県外からの就職）")</f>
        <v>0</v>
      </c>
      <c r="CG6" s="326">
        <f>COUNTIFS(調査票!$D$60:$D$69,"助産師",調査票!$G$60:$G$69,"正規雇用")</f>
        <v>0</v>
      </c>
      <c r="CH6" s="328">
        <f>COUNTIFS(調査票!$D$60:$D$69,"助産師",調査票!$G$60:$G$69,"正規雇用",調査票!$K$60:$K$69,"新卒（県外養成所）")+COUNTIFS(調査票!$D$60:$D$69,"助産師",調査票!$G$60:$G$69,"正規雇用",調査票!$K$60:$K$69,"既卒（県外に居住又は県外からの就職）")</f>
        <v>0</v>
      </c>
      <c r="CI6" s="326">
        <f>COUNTIFS(調査票!$D$60:$D$69,"看護師",調査票!$G$60:$G$69,"正規雇用")</f>
        <v>0</v>
      </c>
      <c r="CJ6" s="328">
        <f>COUNTIFS(調査票!$D$60:$D$69,"看護師",調査票!$G$60:$G$69,"正規雇用",調査票!$K$60:$K$69,"新卒（県外養成所）")+COUNTIFS(調査票!$D$60:$D$69,"看護師",調査票!$G$60:$G$69,"正規雇用",調査票!$K$60:$K$69,"既卒（県外に居住又は県外からの就職）")</f>
        <v>0</v>
      </c>
      <c r="CK6" s="326">
        <f>COUNTIFS(調査票!$D$60:$D$69,"准看護師",調査票!$G$60:$G$69,"正規雇用")</f>
        <v>0</v>
      </c>
      <c r="CL6" s="328">
        <f>COUNTIFS(調査票!$D$60:$D$69,"准看護師",調査票!$G$60:$G$69,"正規雇用",調査票!$K$60:$K$69,"新卒（県外養成所）")+COUNTIFS(調査票!$D$60:$D$69,"准看護師",調査票!$G$60:$G$69,"正規雇用",調査票!$K$60:$K$69,"既卒（県外に居住又は県外からの就職）")</f>
        <v>0</v>
      </c>
      <c r="CM6" s="327">
        <f>CE6+CG6+CI6+CK6</f>
        <v>0</v>
      </c>
      <c r="CN6" s="328">
        <f>COUNTIFS(調査票!$G$60:$G$69,"正規雇用",調査票!$K$60:$K$69,"新卒（県外養成所）")+COUNTIFS(調査票!$G$60:$G$69,"正規雇用",調査票!$K$60:$K$69,"既卒（県外に居住又は県外からの就職）")</f>
        <v>0</v>
      </c>
      <c r="CO6" s="326">
        <f>COUNTIFS(調査票!$D$60:$D$69,"保健師",調査票!$G$60:$G$69,"非正規雇用")</f>
        <v>0</v>
      </c>
      <c r="CP6" s="328">
        <f>COUNTIFS(調査票!$D$60:$D$69,"保健師",調査票!$G$60:$G$69,"非正規雇用",調査票!$K$60:$K$69,"新卒（県外養成所）")+COUNTIFS(調査票!$D$60:$D$69,"保健師",調査票!$G$60:$G$69,"非正規雇用",調査票!$K$60:$K$69,"既卒（県外に居住又は県外からの就職）")</f>
        <v>0</v>
      </c>
      <c r="CQ6" s="326">
        <f>COUNTIFS(調査票!$D$60:$D$69,"助産師",調査票!$G$60:$G$69,"非正規雇用")</f>
        <v>0</v>
      </c>
      <c r="CR6" s="328">
        <f>COUNTIFS(調査票!$D$60:$D$69,"助産師",調査票!$G$60:$G$69,"非正規雇用",調査票!$K$60:$K$69,"新卒（県外養成所）")+COUNTIFS(調査票!$D$60:$D$69,"助産師",調査票!$G$60:$G$69,"非正規雇用",調査票!$K$60:$K$69,"既卒（県外に居住又は県外からの就職）")</f>
        <v>0</v>
      </c>
      <c r="CS6" s="326">
        <f>COUNTIFS(調査票!$D$60:$D$69,"看護師",調査票!$G$60:$G$69,"非正規雇用")</f>
        <v>0</v>
      </c>
      <c r="CT6" s="328">
        <f>COUNTIFS(調査票!$D$60:$D$69,"看護師",調査票!$G$60:$G$69,"非正規雇用",調査票!$K$60:$K$69,"新卒（県外養成所）")+COUNTIFS(調査票!$D$60:$D$69,"看護師",調査票!$G$60:$G$69,"非正規雇用",調査票!$K$60:$K$69,"既卒（県外に居住又は県外からの就職）")</f>
        <v>0</v>
      </c>
      <c r="CU6" s="326">
        <f>COUNTIFS(調査票!$D$60:$D$69,"准看護師",調査票!$G$60:$G$69,"非正規雇用")</f>
        <v>0</v>
      </c>
      <c r="CV6" s="328">
        <f>COUNTIFS(調査票!$D$60:$D$69,"准看護師",調査票!$G$60:$G$69,"非正規雇用",調査票!$K$60:$K$69,"新卒（県外養成所）")+COUNTIFS(調査票!$D$60:$D$69,"准看護師",調査票!$G$60:$G$69,"非正規雇用",調査票!$K$60:$K$69,"既卒（県外に居住又は県外からの就職）")</f>
        <v>0</v>
      </c>
      <c r="CW6" s="327">
        <f>CO6+CQ6+CS6+CU6</f>
        <v>0</v>
      </c>
      <c r="CX6" s="328">
        <f>COUNTIFS(調査票!$G$60:$G$69,"非正規雇用",調査票!$K$60:$K$69,"新卒（県外養成所）")+COUNTIFS(調査票!$G$60:$G$69,"非正規雇用",調査票!$K$60:$K$69,"既卒（県外に居住又は県外からの就職）")</f>
        <v>0</v>
      </c>
      <c r="CY6" s="326">
        <f t="shared" ref="CY6:DH6" si="0">CE6+CO6</f>
        <v>0</v>
      </c>
      <c r="CZ6" s="328">
        <f t="shared" si="0"/>
        <v>0</v>
      </c>
      <c r="DA6" s="326">
        <f t="shared" si="0"/>
        <v>0</v>
      </c>
      <c r="DB6" s="328">
        <f t="shared" si="0"/>
        <v>0</v>
      </c>
      <c r="DC6" s="326">
        <f t="shared" si="0"/>
        <v>0</v>
      </c>
      <c r="DD6" s="328">
        <f t="shared" si="0"/>
        <v>0</v>
      </c>
      <c r="DE6" s="326">
        <f t="shared" si="0"/>
        <v>0</v>
      </c>
      <c r="DF6" s="328">
        <f t="shared" si="0"/>
        <v>0</v>
      </c>
      <c r="DG6" s="327">
        <f t="shared" si="0"/>
        <v>0</v>
      </c>
      <c r="DH6" s="328">
        <f t="shared" si="0"/>
        <v>0</v>
      </c>
      <c r="DI6" s="326">
        <f>COUNTIFS(調査票!$D$60:$D$69,"保健師",調査票!$G$60:$G$69,"正規雇用",調査票!$I$60:$I$69,"新卒")</f>
        <v>0</v>
      </c>
      <c r="DJ6" s="329">
        <f>COUNTIFS(調査票!$D$60:$D$69,"保健師",調査票!$G$60:$G$69,"正規雇用",調査票!$K$60:$K$69,"新卒（県外養成所）")</f>
        <v>0</v>
      </c>
      <c r="DK6" s="326">
        <f>COUNTIFS(調査票!$D$60:$D$69,"助産師",調査票!$G$60:$G$69,"正規雇用",調査票!$I$60:$I$69,"新卒")</f>
        <v>0</v>
      </c>
      <c r="DL6" s="330">
        <f>COUNTIFS(調査票!$D$60:$D$69,"助産師",調査票!$G$60:$G$69,"正規雇用",調査票!$K$60:$K$69,"新卒（県外養成所）")</f>
        <v>0</v>
      </c>
      <c r="DM6" s="326">
        <f>COUNTIFS(調査票!$D$60:$D$69,"看護師",調査票!$G$60:$G$69,"正規雇用",調査票!$I$60:$I$69,"新卒")</f>
        <v>0</v>
      </c>
      <c r="DN6" s="330">
        <f>COUNTIFS(調査票!$D$60:$D$69,"看護師",調査票!$G$60:$G$69,"正規雇用",調査票!$K$60:$K$69,"新卒（県外養成所）")</f>
        <v>0</v>
      </c>
      <c r="DO6" s="326">
        <f>COUNTIFS(調査票!$D$60:$D$69,"准看護師",調査票!$G$60:$G$69,"正規雇用",調査票!$I$60:$I$69,"新卒")</f>
        <v>0</v>
      </c>
      <c r="DP6" s="331">
        <f>COUNTIFS(調査票!$D$60:$D$69,"准看護師",調査票!$G$60:$G$69,"正規雇用",調査票!$K$60:$K$69,"新卒（県外養成所）")</f>
        <v>0</v>
      </c>
      <c r="DQ6" s="330">
        <f>DI6+DK6+DM6+DO6</f>
        <v>0</v>
      </c>
      <c r="DR6" s="332">
        <f>DJ6+DL6+DN6+DP6</f>
        <v>0</v>
      </c>
      <c r="DS6" s="326">
        <f>COUNTIFS(調査票!$D$60:$D$69,"保健師",調査票!$G$60:$G$69,"非正規雇用",調査票!$I$60:$I$69,"新卒")</f>
        <v>0</v>
      </c>
      <c r="DT6" s="330">
        <f>COUNTIFS(調査票!$D$60:$D$69,"保健師",調査票!$G$60:$G$69,"非正規雇用",調査票!$K$60:$K$69,"新卒（県外養成所）")</f>
        <v>0</v>
      </c>
      <c r="DU6" s="326">
        <f>COUNTIFS(調査票!$D$60:$D$69,"助産師",調査票!$G$60:$G$69,"非正規雇用",調査票!$I$60:$I$69,"新卒")</f>
        <v>0</v>
      </c>
      <c r="DV6" s="330">
        <f>COUNTIFS(調査票!$D$60:$D$69,"助産師",調査票!$G$60:$G$69,"非正規雇用",調査票!$K$60:$K$69,"新卒（県外養成所）")</f>
        <v>0</v>
      </c>
      <c r="DW6" s="326">
        <f>COUNTIFS(調査票!$D$60:$D$69,"看護師",調査票!$G$60:$G$69,"非正規雇用",調査票!$I$60:$I$69,"新卒")</f>
        <v>0</v>
      </c>
      <c r="DX6" s="330">
        <f>COUNTIFS(調査票!$D$60:$D$69,"看護師",調査票!$G$60:$G$69,"非正規雇用",調査票!$K$60:$K$69,"新卒（県外養成所）")</f>
        <v>0</v>
      </c>
      <c r="DY6" s="326">
        <f>COUNTIFS(調査票!$D$60:$D$69,"准看護師",調査票!$G$60:$G$69,"非正規雇用",調査票!$I$60:$I$69,"新卒")</f>
        <v>0</v>
      </c>
      <c r="DZ6" s="331">
        <f>COUNTIFS(調査票!$D$60:$D$69,"准看護師",調査票!$G$60:$G$69,"非正規雇用",調査票!$K$60:$K$69,"新卒（県外養成所）")</f>
        <v>0</v>
      </c>
      <c r="EA6" s="330">
        <f>DS6+DU6+DW6+DY6</f>
        <v>0</v>
      </c>
      <c r="EB6" s="332">
        <f>DT6+DV6+DX6+DZ6</f>
        <v>0</v>
      </c>
      <c r="EC6" s="326">
        <f>COUNTIFS(調査票!$D$60:$D$69,"保健師",調査票!$I$60:$I$69,"新卒")</f>
        <v>0</v>
      </c>
      <c r="ED6" s="330">
        <f>COUNTIFS(調査票!$D$60:$D$69,"保健師",調査票!$K$60:$K$69,"新卒（県外養成所）")</f>
        <v>0</v>
      </c>
      <c r="EE6" s="326">
        <f>COUNTIFS(調査票!$D$60:$D$69,"助産師",調査票!$I$60:$I$69,"新卒")</f>
        <v>0</v>
      </c>
      <c r="EF6" s="330">
        <f>COUNTIFS(調査票!$D$60:$D$69,"助産師",調査票!$K$60:$K$69,"新卒（県外養成所）")</f>
        <v>0</v>
      </c>
      <c r="EG6" s="326">
        <f>COUNTIFS(調査票!$D$60:$D$69,"看護師",調査票!$I$60:$I$69,"新卒")</f>
        <v>0</v>
      </c>
      <c r="EH6" s="330">
        <f>COUNTIFS(調査票!$D$60:$D$69,"看護師",調査票!$K$60:$K$69,"新卒（県外養成所）")</f>
        <v>0</v>
      </c>
      <c r="EI6" s="326">
        <f>COUNTIFS(調査票!$D$60:$D$69,"准看護師",調査票!$I$60:$I$69,"新卒")</f>
        <v>0</v>
      </c>
      <c r="EJ6" s="331">
        <f>COUNTIFS(調査票!$D$60:$D$69,"准看護師",調査票!$K$60:$K$69,"新卒（県外養成所）")</f>
        <v>0</v>
      </c>
      <c r="EK6" s="330">
        <f>EC6+EE6+EG6+EI6</f>
        <v>0</v>
      </c>
      <c r="EL6" s="332">
        <f>ED6+EF6+EH6+EJ6</f>
        <v>0</v>
      </c>
      <c r="EM6" s="333">
        <f>COUNTIFS(調査票!$F$60:$F$69,"20歳未満",調査票!$G$60:$G$69,"正規雇用")</f>
        <v>0</v>
      </c>
      <c r="EN6" s="333">
        <f>COUNTIFS(調査票!$F$60:$F$69,"20～29歳",調査票!$G$60:$G$69,"正規雇用")</f>
        <v>0</v>
      </c>
      <c r="EO6" s="333">
        <f>COUNTIFS(調査票!$F$60:$F$69,"30～39歳",調査票!$G$60:$G$69,"正規雇用")</f>
        <v>0</v>
      </c>
      <c r="EP6" s="333">
        <f>COUNTIFS(調査票!$F$60:$F$69,"40～49歳",調査票!$G$60:$G$69,"正規雇用")</f>
        <v>0</v>
      </c>
      <c r="EQ6" s="333">
        <f>COUNTIFS(調査票!$F$60:$F$69,"50～59歳",調査票!$G$60:$G$69,"正規雇用")</f>
        <v>0</v>
      </c>
      <c r="ER6" s="320">
        <f>COUNTIFS(調査票!$F$60:$F$69,"60歳以上",調査票!$G$60:$G$69,"正規雇用")</f>
        <v>0</v>
      </c>
      <c r="ES6" s="321">
        <f>SUM(EM6:ER6)</f>
        <v>0</v>
      </c>
      <c r="ET6" s="333">
        <f>COUNTIFS(調査票!$F$60:$F$69,"20歳未満",調査票!$G$60:$G$69,"非正規雇用")</f>
        <v>0</v>
      </c>
      <c r="EU6" s="334">
        <f>COUNTIFS(調査票!$F$60:$F$69,"20～29歳",調査票!$G$60:$G$69,"非正規雇用")</f>
        <v>0</v>
      </c>
      <c r="EV6" s="319">
        <f>COUNTIFS(調査票!$F$60:$F$69,"30～39歳",調査票!$G$60:$G$69,"非正規雇用")</f>
        <v>0</v>
      </c>
      <c r="EW6" s="319">
        <f>COUNTIFS(調査票!$F$60:$F$69,"40～49歳",調査票!$G$60:$G$69,"非正規雇用")</f>
        <v>0</v>
      </c>
      <c r="EX6" s="319">
        <f>COUNTIFS(調査票!$F$60:$F$69,"50～59歳",調査票!$G$60:$G$69,"非正規雇用")</f>
        <v>0</v>
      </c>
      <c r="EY6" s="320">
        <f>COUNTIFS(調査票!$F$60:$F$69,"60歳以上",調査票!$G$60:$G$69,"非正規雇用")</f>
        <v>0</v>
      </c>
      <c r="EZ6" s="321">
        <f>SUM(ET6:EY6)</f>
        <v>0</v>
      </c>
      <c r="FA6" s="333">
        <f>COUNTIF(調査票!$F$60:$F$69,"20歳未満")</f>
        <v>0</v>
      </c>
      <c r="FB6" s="334">
        <f>COUNTIF(調査票!$F$60:$F$69,"20～29歳")</f>
        <v>0</v>
      </c>
      <c r="FC6" s="319">
        <f>COUNTIF(調査票!$F$60:$F$69,"30～39歳")</f>
        <v>0</v>
      </c>
      <c r="FD6" s="319">
        <f>COUNTIF(調査票!$F$60:$F$69,"40～49歳")</f>
        <v>0</v>
      </c>
      <c r="FE6" s="319">
        <f>COUNTIF(調査票!$F$60:$F$69,"50～59歳")</f>
        <v>0</v>
      </c>
      <c r="FF6" s="320">
        <f>COUNTIF(調査票!$F$60:$F$69,"60歳以上")</f>
        <v>0</v>
      </c>
      <c r="FG6" s="321">
        <f>SUM(FA6:FF6)</f>
        <v>0</v>
      </c>
      <c r="FH6" s="324">
        <f>調査票!B78</f>
        <v>0</v>
      </c>
      <c r="FI6" s="324">
        <f>調査票!B79</f>
        <v>0</v>
      </c>
      <c r="FJ6" s="330">
        <f>COUNTIFS(調査票!$D$88:$D$97,"保健師",調査票!$G$88:$G$97,"正規雇用")</f>
        <v>0</v>
      </c>
      <c r="FK6" s="322">
        <f>COUNTIFS(調査票!$D$88:$D$97,"保健師",調査票!$G$88:$G$97,"正規雇用",調査票!$K$88:$K$97,"○")</f>
        <v>0</v>
      </c>
      <c r="FL6" s="326">
        <f>COUNTIFS(調査票!$D$88:$D$97,"助産師",調査票!$G$88:$G$97,"正規雇用")</f>
        <v>0</v>
      </c>
      <c r="FM6" s="322">
        <f>COUNTIFS(調査票!$D$88:$D$97,"助産師",調査票!$G$88:$G$97,"正規雇用",調査票!$K$88:$K$97,"○")</f>
        <v>0</v>
      </c>
      <c r="FN6" s="326">
        <f>COUNTIFS(調査票!$D$88:$D$97,"看護師",調査票!$G$88:$G$97,"正規雇用")</f>
        <v>0</v>
      </c>
      <c r="FO6" s="322">
        <f>COUNTIFS(調査票!$D$88:$D$97,"看護師",調査票!$G$88:$G$97,"正規雇用",調査票!$K$88:$K$97,"○")</f>
        <v>0</v>
      </c>
      <c r="FP6" s="326">
        <f>COUNTIFS(調査票!$D$88:$D$97,"准看護師",調査票!$G$88:$G$97,"正規雇用")</f>
        <v>0</v>
      </c>
      <c r="FQ6" s="332">
        <f>COUNTIFS(調査票!$D$88:$D$97,"准看護師",調査票!$G$88:$G$97,"正規雇用",調査票!$K$88:$K$97,"○")</f>
        <v>0</v>
      </c>
      <c r="FR6" s="327">
        <f>FJ6+FL6+FN6+FP6</f>
        <v>0</v>
      </c>
      <c r="FS6" s="322">
        <f>FK6+FM6+FO6+FQ6</f>
        <v>0</v>
      </c>
      <c r="FT6" s="330">
        <f>COUNTIFS(調査票!$D$88:$D$97,"保健師",調査票!$G$88:$G$97,"非正規雇用")</f>
        <v>0</v>
      </c>
      <c r="FU6" s="322">
        <f>COUNTIFS(調査票!$D$88:$D$97,"保健師",調査票!$G$88:$G$97,"非正規雇用",調査票!$K$88:$K$97,"○")</f>
        <v>0</v>
      </c>
      <c r="FV6" s="326">
        <f>COUNTIFS(調査票!$D$88:$D$97,"助産師",調査票!$G$88:$G$97,"非正規雇用")</f>
        <v>0</v>
      </c>
      <c r="FW6" s="322">
        <f>COUNTIFS(調査票!$D$88:$D$97,"助産師",調査票!$G$88:$G$97,"非正規雇用",調査票!$K$88:$K$97,"○")</f>
        <v>0</v>
      </c>
      <c r="FX6" s="326">
        <f>COUNTIFS(調査票!$D$88:$D$97,"看護師",調査票!$G$88:$G$97,"非正規雇用")</f>
        <v>0</v>
      </c>
      <c r="FY6" s="322">
        <f>COUNTIFS(調査票!$D$88:$D$97,"看護師",調査票!$G$88:$G$97,"非正規雇用",調査票!$K$88:$K$97,"○")</f>
        <v>0</v>
      </c>
      <c r="FZ6" s="326">
        <f>COUNTIFS(調査票!$D$88:$D$97,"准看護師",調査票!$G$88:$G$97,"非正規雇用")</f>
        <v>0</v>
      </c>
      <c r="GA6" s="332">
        <f>COUNTIFS(調査票!$D$88:$D$97,"准看護師",調査票!$G$88:$G$97,"非正規雇用",調査票!$K$88:$K$97,"○")</f>
        <v>0</v>
      </c>
      <c r="GB6" s="327">
        <f>FT6+FV6+FX6+FZ6</f>
        <v>0</v>
      </c>
      <c r="GC6" s="322">
        <f>FU6+FW6+FY6+GA6</f>
        <v>0</v>
      </c>
      <c r="GD6" s="330">
        <f>COUNTIFS(調査票!$D$88:$D$97,"保健師")</f>
        <v>0</v>
      </c>
      <c r="GE6" s="322">
        <f>COUNTIFS(調査票!$D$88:$D$97,"保健師",調査票!$K$88:$K$97,"○")</f>
        <v>0</v>
      </c>
      <c r="GF6" s="326">
        <f>COUNTIFS(調査票!$D$88:$D$97,"助産師")</f>
        <v>0</v>
      </c>
      <c r="GG6" s="322">
        <f>COUNTIFS(調査票!$D$88:$D$97,"助産師",調査票!$K$88:$K$97,"○")</f>
        <v>0</v>
      </c>
      <c r="GH6" s="326">
        <f>COUNTIFS(調査票!$D$88:$D$97,"看護師")</f>
        <v>0</v>
      </c>
      <c r="GI6" s="322">
        <f>COUNTIFS(調査票!$D$88:$D$97,"看護師",調査票!$K$88:$K$97,"○")</f>
        <v>0</v>
      </c>
      <c r="GJ6" s="326">
        <f>COUNTIFS(調査票!$D$88:$D$97,"准看護師")</f>
        <v>0</v>
      </c>
      <c r="GK6" s="332">
        <f>COUNTIFS(調査票!$D$88:$D$97,"准看護師",調査票!$K$88:$K$97,"○")</f>
        <v>0</v>
      </c>
      <c r="GL6" s="327">
        <f>GD6+GF6+GH6+GJ6</f>
        <v>0</v>
      </c>
      <c r="GM6" s="322">
        <f>GE6+GG6+GI6+GK6</f>
        <v>0</v>
      </c>
      <c r="GN6" s="319">
        <f>COUNTIFS(調査票!$G$88:$G$97,"正規雇用",調査票!$I$88:$I$97,"１年未満（新卒）")+COUNTIFS(調査票!$G$88:$G$97,"正規雇用",調査票!$I$88:$I$97,"１年未満（既卒）")</f>
        <v>0</v>
      </c>
      <c r="GO6" s="319">
        <f>COUNTIFS(調査票!$G$88:$G$97,"正規雇用",調査票!$I$88:$I$97,"1～5年")</f>
        <v>0</v>
      </c>
      <c r="GP6" s="319">
        <f>COUNTIFS(調査票!$G$88:$G$97,"正規雇用",調査票!$I$88:$I$97,"6～10年")</f>
        <v>0</v>
      </c>
      <c r="GQ6" s="319">
        <f>COUNTIFS(調査票!$G$88:$G$97,"正規雇用",調査票!$I$88:$I$97,"11～15年")</f>
        <v>0</v>
      </c>
      <c r="GR6" s="319">
        <f>COUNTIFS(調査票!$G$88:$G$97,"正規雇用",調査票!$I$88:$I$97,"16～20年")</f>
        <v>0</v>
      </c>
      <c r="GS6" s="320">
        <f>COUNTIFS(調査票!$G$88:$G$97,"正規雇用",調査票!$I$88:$I$97,"21年以上")</f>
        <v>0</v>
      </c>
      <c r="GT6" s="321">
        <f>SUM(GN6:GS6)</f>
        <v>0</v>
      </c>
      <c r="GU6" s="319">
        <f>COUNTIFS(調査票!$G$88:$G$97,"非正規雇用",調査票!$I$88:$I$97,"１年未満（新卒）")+COUNTIFS(調査票!$G$88:$G$97,"非正規雇用",調査票!$I$88:$I$97,"１年未満（既卒）")</f>
        <v>0</v>
      </c>
      <c r="GV6" s="319">
        <f>COUNTIFS(調査票!$G$88:$G$97,"非正規雇用",調査票!$I$88:$I$97,"1～5年")</f>
        <v>0</v>
      </c>
      <c r="GW6" s="319">
        <f>COUNTIFS(調査票!$G$88:$G$97,"非正規雇用",調査票!$I$88:$I$97,"6～10年")</f>
        <v>0</v>
      </c>
      <c r="GX6" s="319">
        <f>COUNTIFS(調査票!$G$88:$G$97,"非正規雇用",調査票!$I$88:$I$97,"11～15年")</f>
        <v>0</v>
      </c>
      <c r="GY6" s="319">
        <f>COUNTIFS(調査票!$G$88:$G$97,"非正規雇用",調査票!$I$88:$I$97,"16～20年")</f>
        <v>0</v>
      </c>
      <c r="GZ6" s="320">
        <f>COUNTIFS(調査票!$G$88:$G$97,"非正規雇用",調査票!$I$88:$I$97,"21年以上")</f>
        <v>0</v>
      </c>
      <c r="HA6" s="321">
        <f>SUM(GU6:GZ6)</f>
        <v>0</v>
      </c>
      <c r="HB6" s="319">
        <f>GN6+GU6</f>
        <v>0</v>
      </c>
      <c r="HC6" s="319">
        <f t="shared" ref="HC6:HH6" si="1">GO6+GV6</f>
        <v>0</v>
      </c>
      <c r="HD6" s="319">
        <f t="shared" si="1"/>
        <v>0</v>
      </c>
      <c r="HE6" s="319">
        <f t="shared" si="1"/>
        <v>0</v>
      </c>
      <c r="HF6" s="319">
        <f t="shared" si="1"/>
        <v>0</v>
      </c>
      <c r="HG6" s="320">
        <f t="shared" si="1"/>
        <v>0</v>
      </c>
      <c r="HH6" s="321">
        <f t="shared" si="1"/>
        <v>0</v>
      </c>
      <c r="HI6" s="319">
        <f>COUNTIFS(調査票!$F$88:$F$97,"20歳未満",調査票!$G$88:$G$97,"正規雇用")</f>
        <v>0</v>
      </c>
      <c r="HJ6" s="319">
        <f>COUNTIFS(調査票!$F$88:$F$97,"20～29歳",調査票!$G$88:$G$97,"正規雇用")</f>
        <v>0</v>
      </c>
      <c r="HK6" s="319">
        <f>COUNTIFS(調査票!$F$88:$F$97,"30～39歳",調査票!$G$88:$G$97,"正規雇用")</f>
        <v>0</v>
      </c>
      <c r="HL6" s="319">
        <f>COUNTIFS(調査票!$F$88:$F$97,"40～49歳",調査票!$G$88:$G$97,"正規雇用")</f>
        <v>0</v>
      </c>
      <c r="HM6" s="319">
        <f>COUNTIFS(調査票!$F$88:$F$97,"50～59歳",調査票!$G$88:$G$97,"正規雇用")</f>
        <v>0</v>
      </c>
      <c r="HN6" s="319">
        <f>COUNTIFS(調査票!$F$88:$F$97,"60歳以上",調査票!$G$88:$G$97,"正規雇用")</f>
        <v>0</v>
      </c>
      <c r="HO6" s="321">
        <f>SUM(HI6:HN6)</f>
        <v>0</v>
      </c>
      <c r="HP6" s="319">
        <f>COUNTIFS(調査票!$F$88:$F$97,"20歳未満",調査票!$G$88:$G$97,"非正規雇用")</f>
        <v>0</v>
      </c>
      <c r="HQ6" s="319">
        <f>COUNTIFS(調査票!$F$88:$F$97,"20～29歳",調査票!$G$88:$G$97,"非正規雇用")</f>
        <v>0</v>
      </c>
      <c r="HR6" s="319">
        <f>COUNTIFS(調査票!$F$88:$F$97,"30～39歳",調査票!$G$88:$G$97,"非正規雇用")</f>
        <v>0</v>
      </c>
      <c r="HS6" s="319">
        <f>COUNTIFS(調査票!$F$88:$F$97,"40～49歳",調査票!$G$88:$G$97,"非正規雇用")</f>
        <v>0</v>
      </c>
      <c r="HT6" s="319">
        <f>COUNTIFS(調査票!$F$88:$F$97,"50～59歳",調査票!$G$88:$G$97,"非正規雇用")</f>
        <v>0</v>
      </c>
      <c r="HU6" s="319">
        <f>COUNTIFS(調査票!$F$88:$F$97,"60歳以上",調査票!$G$88:$G$97,"非正規雇用")</f>
        <v>0</v>
      </c>
      <c r="HV6" s="321">
        <f>SUM(HP6:HU6)</f>
        <v>0</v>
      </c>
      <c r="HW6" s="319">
        <f>HI6+HP6</f>
        <v>0</v>
      </c>
      <c r="HX6" s="319">
        <f t="shared" ref="HX6:IC6" si="2">HJ6+HQ6</f>
        <v>0</v>
      </c>
      <c r="HY6" s="319">
        <f t="shared" si="2"/>
        <v>0</v>
      </c>
      <c r="HZ6" s="319">
        <f t="shared" si="2"/>
        <v>0</v>
      </c>
      <c r="IA6" s="319">
        <f t="shared" si="2"/>
        <v>0</v>
      </c>
      <c r="IB6" s="319">
        <f t="shared" si="2"/>
        <v>0</v>
      </c>
      <c r="IC6" s="321">
        <f t="shared" si="2"/>
        <v>0</v>
      </c>
      <c r="ID6" s="319">
        <f>COUNTIFS(調査票!$F$88:$F$97,"20歳未満",調査票!$G$88:$G$97,"正規雇用",調査票!$L$88:$L$97,"結婚")</f>
        <v>0</v>
      </c>
      <c r="IE6" s="319">
        <f>COUNTIFS(調査票!$F$88:$F$97,"20～29歳",調査票!$G$88:$G$97,"正規雇用",調査票!$L$88:$L$97,"結婚")</f>
        <v>0</v>
      </c>
      <c r="IF6" s="319">
        <f>COUNTIFS(調査票!$F$88:$F$97,"30～39歳",調査票!$G$88:$G$97,"正規雇用",調査票!$L$88:$L$97,"結婚")</f>
        <v>0</v>
      </c>
      <c r="IG6" s="319">
        <f>COUNTIFS(調査票!$F$88:$F$97,"40～49歳",調査票!$G$88:$G$97,"正規雇用",調査票!$L$88:$L$97,"結婚")</f>
        <v>0</v>
      </c>
      <c r="IH6" s="319">
        <f>COUNTIFS(調査票!$F$88:$F$97,"50～59歳",調査票!$G$88:$G$97,"正規雇用",調査票!$L$88:$L$97,"結婚")</f>
        <v>0</v>
      </c>
      <c r="II6" s="319">
        <f>COUNTIFS(調査票!$F$88:$F$97,"60歳以上",調査票!$G$88:$G$97,"正規雇用",調査票!$L$88:$L$97,"結婚")</f>
        <v>0</v>
      </c>
      <c r="IJ6" s="320">
        <f>COUNTIFS(調査票!$G$88:$G$97,"正規雇用",調査票!$I$88:$I$97,"１年未満（新卒）",調査票!$L$88:$L$97,"結婚")</f>
        <v>0</v>
      </c>
      <c r="IK6" s="321">
        <f>SUM(ID6:II6)</f>
        <v>0</v>
      </c>
      <c r="IL6" s="319">
        <f>COUNTIFS(調査票!$F$88:$F$97,"20歳未満",調査票!$G$88:$G$97,"正規雇用",調査票!$L$88:$L$97,"出産・育児")</f>
        <v>0</v>
      </c>
      <c r="IM6" s="319">
        <f>COUNTIFS(調査票!$F$88:$F$97,"20～29歳",調査票!$G$88:$G$97,"正規雇用",調査票!$L$88:$L$97,"出産・育児")</f>
        <v>0</v>
      </c>
      <c r="IN6" s="319">
        <f>COUNTIFS(調査票!$F$88:$F$97,"30～39歳",調査票!$G$88:$G$97,"正規雇用",調査票!$L$88:$L$97,"出産・育児")</f>
        <v>0</v>
      </c>
      <c r="IO6" s="319">
        <f>COUNTIFS(調査票!$F$88:$F$97,"40～49歳",調査票!$G$88:$G$97,"正規雇用",調査票!$L$88:$L$97,"出産・育児")</f>
        <v>0</v>
      </c>
      <c r="IP6" s="319">
        <f>COUNTIFS(調査票!$F$88:$F$97,"50～59歳",調査票!$G$88:$G$97,"正規雇用",調査票!$L$88:$L$97,"出産・育児")</f>
        <v>0</v>
      </c>
      <c r="IQ6" s="319">
        <f>COUNTIFS(調査票!$F$88:$F$97,"60歳以上",調査票!$G$88:$G$97,"正規雇用",調査票!$L$88:$L$97,"出産・育児")</f>
        <v>0</v>
      </c>
      <c r="IR6" s="319">
        <f>COUNTIFS(調査票!$G$88:$G$97,"正規雇用",調査票!$I$88:$I$97,"１年未満（新卒）",調査票!$L$88:$L$97,"出産・育児")</f>
        <v>0</v>
      </c>
      <c r="IS6" s="321">
        <f>SUM(IL6:IQ6)</f>
        <v>0</v>
      </c>
      <c r="IT6" s="319">
        <f>COUNTIFS(調査票!$F$88:$F$97,"20歳未満",調査票!$G$88:$G$97,"正規雇用",調査票!$L$88:$L$97,"健康上の理由（身体的）")</f>
        <v>0</v>
      </c>
      <c r="IU6" s="319">
        <f>COUNTIFS(調査票!$F$88:$F$97,"20～29歳",調査票!$G$88:$G$97,"正規雇用",調査票!$L$88:$L$97,"健康上の理由（身体的）")</f>
        <v>0</v>
      </c>
      <c r="IV6" s="319">
        <f>COUNTIFS(調査票!$F$88:$F$97,"30～39歳",調査票!$G$88:$G$97,"正規雇用",調査票!$L$88:$L$97,"健康上の理由（身体的）")</f>
        <v>0</v>
      </c>
      <c r="IW6" s="319">
        <f>COUNTIFS(調査票!$F$88:$F$97,"40～49歳",調査票!$G$88:$G$97,"正規雇用",調査票!$L$88:$L$97,"健康上の理由（身体的）")</f>
        <v>0</v>
      </c>
      <c r="IX6" s="319">
        <f>COUNTIFS(調査票!$F$88:$F$97,"50～59歳",調査票!$G$88:$G$97,"正規雇用",調査票!$L$88:$L$97,"健康上の理由（身体的）")</f>
        <v>0</v>
      </c>
      <c r="IY6" s="319">
        <f>COUNTIFS(調査票!$F$88:$F$97,"60歳以上",調査票!$G$88:$G$97,"正規雇用",調査票!$L$88:$L$97,"健康上の理由（身体的）")</f>
        <v>0</v>
      </c>
      <c r="IZ6" s="319">
        <f>COUNTIFS(調査票!$G$88:$G$97,"正規雇用",調査票!$I$88:$I$97,"１年未満（新卒）",調査票!$L$88:$L$97,"健康上の理由（身体的）")</f>
        <v>0</v>
      </c>
      <c r="JA6" s="321">
        <f>SUM(IT6:IY6)</f>
        <v>0</v>
      </c>
      <c r="JB6" s="319">
        <f>COUNTIFS(調査票!$F$88:$F$97,"20歳未満",調査票!$G$88:$G$97,"正規雇用",調査票!$L$88:$L$97,"健康上の理由（精神的）")</f>
        <v>0</v>
      </c>
      <c r="JC6" s="319">
        <f>COUNTIFS(調査票!$F$88:$F$97,"20～29歳",調査票!$G$88:$G$97,"正規雇用",調査票!$L$88:$L$97,"健康上の理由（精神的）")</f>
        <v>0</v>
      </c>
      <c r="JD6" s="319">
        <f>COUNTIFS(調査票!$F$88:$F$97,"30～39歳",調査票!$G$88:$G$97,"正規雇用",調査票!$L$88:$L$97,"健康上の理由（精神的）")</f>
        <v>0</v>
      </c>
      <c r="JE6" s="319">
        <f>COUNTIFS(調査票!$F$88:$F$97,"40～49歳",調査票!$G$88:$G$97,"正規雇用",調査票!$L$88:$L$97,"健康上の理由（精神的）")</f>
        <v>0</v>
      </c>
      <c r="JF6" s="319">
        <f>COUNTIFS(調査票!$F$88:$F$97,"50～59歳",調査票!$G$88:$G$97,"正規雇用",調査票!$L$88:$L$97,"健康上の理由（精神的）")</f>
        <v>0</v>
      </c>
      <c r="JG6" s="319">
        <f>COUNTIFS(調査票!$F$88:$F$97,"60歳以上",調査票!$G$88:$G$97,"正規雇用",調査票!$L$88:$L$97,"健康上の理由（精神的）")</f>
        <v>0</v>
      </c>
      <c r="JH6" s="319">
        <f>COUNTIFS(調査票!$G$88:$G$97,"正規雇用",調査票!$I$88:$I$97,"１年未満（新卒）",調査票!$L$88:$L$97,"健康上の理由（精神的）")</f>
        <v>0</v>
      </c>
      <c r="JI6" s="321">
        <f>SUM(JB6:JG6)</f>
        <v>0</v>
      </c>
      <c r="JJ6" s="319">
        <f>COUNTIFS(調査票!$F$88:$F$97,"20歳未満",調査票!$G$88:$G$97,"正規雇用",調査票!$L$88:$L$97,"親族の健康・介護")</f>
        <v>0</v>
      </c>
      <c r="JK6" s="319">
        <f>COUNTIFS(調査票!$F$88:$F$97,"20～29歳",調査票!$G$88:$G$97,"正規雇用",調査票!$L$88:$L$97,"親族の健康・介護")</f>
        <v>0</v>
      </c>
      <c r="JL6" s="319">
        <f>COUNTIFS(調査票!$F$88:$F$97,"30～39歳",調査票!$G$88:$G$97,"正規雇用",調査票!$L$88:$L$97,"親族の健康・介護")</f>
        <v>0</v>
      </c>
      <c r="JM6" s="319">
        <f>COUNTIFS(調査票!$F$88:$F$97,"40～49歳",調査票!$G$88:$G$97,"正規雇用",調査票!$L$88:$L$97,"親族の健康・介護")</f>
        <v>0</v>
      </c>
      <c r="JN6" s="319">
        <f>COUNTIFS(調査票!$F$88:$F$97,"50～59歳",調査票!$G$88:$G$97,"正規雇用",調査票!$L$88:$L$97,"親族の健康・介護")</f>
        <v>0</v>
      </c>
      <c r="JO6" s="319">
        <f>COUNTIFS(調査票!$F$88:$F$97,"60歳以上",調査票!$G$88:$G$97,"正規雇用",調査票!$L$88:$L$97,"親族の健康・介護")</f>
        <v>0</v>
      </c>
      <c r="JP6" s="320">
        <f>COUNTIFS(調査票!$G$88:$G$97,"正規雇用",調査票!$I$88:$I$97,"１年未満（新卒）",調査票!$L$88:$L$97,"親族の健康・介護")</f>
        <v>0</v>
      </c>
      <c r="JQ6" s="321">
        <f>SUM(JJ6:JO6)</f>
        <v>0</v>
      </c>
      <c r="JR6" s="335">
        <f>COUNTIFS(調査票!$F$88:$F$97,"20歳未満",調査票!$G$88:$G$97,"正規雇用",調査票!$L$88:$L$97,"転居")</f>
        <v>0</v>
      </c>
      <c r="JS6" s="319">
        <f>COUNTIFS(調査票!$F$88:$F$97,"20～29歳",調査票!$G$88:$G$97,"正規雇用",調査票!$L$88:$L$97,"転居")</f>
        <v>0</v>
      </c>
      <c r="JT6" s="319">
        <f>COUNTIFS(調査票!$F$88:$F$97,"30～39歳",調査票!$G$88:$G$97,"正規雇用",調査票!$L$88:$L$97,"転居")</f>
        <v>0</v>
      </c>
      <c r="JU6" s="319">
        <f>COUNTIFS(調査票!$F$88:$F$97,"40～49歳",調査票!$G$88:$G$97,"正規雇用",調査票!$L$88:$L$97,"転居")</f>
        <v>0</v>
      </c>
      <c r="JV6" s="319">
        <f>COUNTIFS(調査票!$F$88:$F$97,"50～59歳",調査票!$G$88:$G$97,"正規雇用",調査票!$L$88:$L$97,"転居")</f>
        <v>0</v>
      </c>
      <c r="JW6" s="319">
        <f>COUNTIFS(調査票!$F$88:$F$97,"60歳以上",調査票!$G$88:$G$97,"正規雇用",調査票!$L$88:$L$97,"転居")</f>
        <v>0</v>
      </c>
      <c r="JX6" s="320">
        <f>COUNTIFS(調査票!$G$88:$G$97,"正規雇用",調査票!$I$88:$I$97,"１年未満（新卒）",調査票!$L$88:$L$97,"転居")</f>
        <v>0</v>
      </c>
      <c r="JY6" s="321">
        <f>SUM(JR6:JW6)</f>
        <v>0</v>
      </c>
      <c r="JZ6" s="319">
        <f>COUNTIFS(調査票!$F$88:$F$97,"20歳未満",調査票!$G$88:$G$97,"正規雇用",調査票!$L$88:$L$97,"他の職場（看護職）への興味")</f>
        <v>0</v>
      </c>
      <c r="KA6" s="319">
        <f>COUNTIFS(調査票!$F$88:$F$97,"20～29歳",調査票!$G$88:$G$97,"正規雇用",調査票!$L$88:$L$97,"他の職場（看護職）への興味")</f>
        <v>0</v>
      </c>
      <c r="KB6" s="319">
        <f>COUNTIFS(調査票!$F$88:$F$97,"30～39歳",調査票!$G$88:$G$97,"正規雇用",調査票!$L$88:$L$97,"他の職場（看護職）への興味")</f>
        <v>0</v>
      </c>
      <c r="KC6" s="319">
        <f>COUNTIFS(調査票!$F$88:$F$97,"40～49歳",調査票!$G$88:$G$97,"正規雇用",調査票!$L$88:$L$97,"他の職場（看護職）への興味")</f>
        <v>0</v>
      </c>
      <c r="KD6" s="319">
        <f>COUNTIFS(調査票!$F$88:$F$97,"50～59歳",調査票!$G$88:$G$97,"正規雇用",調査票!$L$88:$L$97,"他の職場（看護職）への興味")</f>
        <v>0</v>
      </c>
      <c r="KE6" s="319">
        <f>COUNTIFS(調査票!$F$88:$F$97,"60歳以上",調査票!$G$88:$G$97,"正規雇用",調査票!$L$88:$L$97,"他の職場（看護職）への興味")</f>
        <v>0</v>
      </c>
      <c r="KF6" s="336">
        <f>COUNTIFS(調査票!$G$88:$G$97,"正規雇用",調査票!$I$88:$I$97,"１年未満（新卒）",調査票!$L$88:$L$97,"他の職場（看護職）への興味")</f>
        <v>0</v>
      </c>
      <c r="KG6" s="322">
        <f>SUM(JZ6:KE6)</f>
        <v>0</v>
      </c>
      <c r="KH6" s="319">
        <f>COUNTIFS(調査票!$F$88:$F$97,"20歳未満",調査票!$G$88:$G$97,"正規雇用",調査票!$L$88:$L$97,"他職種への興味")</f>
        <v>0</v>
      </c>
      <c r="KI6" s="319">
        <f>COUNTIFS(調査票!$F$88:$F$97,"20～29歳",調査票!$G$88:$G$97,"正規雇用",調査票!$L$88:$L$97,"他職種への興味")</f>
        <v>0</v>
      </c>
      <c r="KJ6" s="319">
        <f>COUNTIFS(調査票!$F$88:$F$97,"30～39歳",調査票!$G$88:$G$97,"正規雇用",調査票!$L$88:$L$97,"他職種への興味")</f>
        <v>0</v>
      </c>
      <c r="KK6" s="319">
        <f>COUNTIFS(調査票!$F$88:$F$97,"40～49歳",調査票!$G$88:$G$97,"正規雇用",調査票!$L$88:$L$97,"他職種への興味")</f>
        <v>0</v>
      </c>
      <c r="KL6" s="319">
        <f>COUNTIFS(調査票!$F$88:$F$97,"50～59歳",調査票!$G$88:$G$97,"正規雇用",調査票!$L$88:$L$97,"他職種への興味")</f>
        <v>0</v>
      </c>
      <c r="KM6" s="319">
        <f>COUNTIFS(調査票!$F$88:$F$97,"60歳以上",調査票!$G$88:$G$97,"正規雇用",調査票!$L$88:$L$97,"他職種への興味")</f>
        <v>0</v>
      </c>
      <c r="KN6" s="320">
        <f>COUNTIFS(調査票!$G$88:$G$97,"正規雇用",調査票!$I$88:$I$97,"１年未満（新卒）",調査票!$L$88:$L$97,"他職種への興味")</f>
        <v>0</v>
      </c>
      <c r="KO6" s="321">
        <f>SUM(KH6:KM6)</f>
        <v>0</v>
      </c>
      <c r="KP6" s="319">
        <f>COUNTIFS(調査票!$F$88:$F$97,"20歳未満",調査票!$G$88:$G$97,"正規雇用",調査票!$L$88:$L$97,"キャリアアップ目的（進学・資格取得等）")</f>
        <v>0</v>
      </c>
      <c r="KQ6" s="319">
        <f>COUNTIFS(調査票!$F$88:$F$97,"20～29歳",調査票!$G$88:$G$97,"正規雇用",調査票!$L$88:$L$97,"キャリアアップ目的（進学・資格取得等）")</f>
        <v>0</v>
      </c>
      <c r="KR6" s="319">
        <f>COUNTIFS(調査票!$F$88:$F$97,"30～39歳",調査票!$G$88:$G$97,"正規雇用",調査票!$L$88:$L$97,"キャリアアップ目的（進学・資格取得等）")</f>
        <v>0</v>
      </c>
      <c r="KS6" s="319">
        <f>COUNTIFS(調査票!$F$88:$F$97,"40～49歳",調査票!$G$88:$G$97,"正規雇用",調査票!$L$88:$L$97,"キャリアアップ目的（進学・資格取得等）")</f>
        <v>0</v>
      </c>
      <c r="KT6" s="319">
        <f>COUNTIFS(調査票!$F$88:$F$97,"50～59歳",調査票!$G$88:$G$97,"正規雇用",調査票!$L$88:$L$97,"キャリアアップ目的（進学・資格取得等）")</f>
        <v>0</v>
      </c>
      <c r="KU6" s="319">
        <f>COUNTIFS(調査票!$F$88:$F$97,"60歳以上",調査票!$G$88:$G$97,"正規雇用",調査票!$L$88:$L$97,"キャリアアップ目的（進学・資格取得等）")</f>
        <v>0</v>
      </c>
      <c r="KV6" s="320">
        <f>COUNTIFS(調査票!$G$88:$G$97,"正規雇用",調査票!$I$88:$I$97,"１年未満（新卒）",調査票!$L$88:$L$97,"キャリアアップ目的（進学・資格取得等）")</f>
        <v>0</v>
      </c>
      <c r="KW6" s="321">
        <f>SUM(KP6:KU6)</f>
        <v>0</v>
      </c>
      <c r="KX6" s="319">
        <f>COUNTIFS(調査票!$F$88:$F$97,"20歳未満",調査票!$G$88:$G$97,"正規雇用",調査票!$L$88:$L$97,"給与についての不満")</f>
        <v>0</v>
      </c>
      <c r="KY6" s="319">
        <f>COUNTIFS(調査票!$F$88:$F$97,"20～29歳",調査票!$G$88:$G$97,"正規雇用",調査票!$L$88:$L$97,"給与についての不満")</f>
        <v>0</v>
      </c>
      <c r="KZ6" s="319">
        <f>COUNTIFS(調査票!$F$88:$F$97,"30～39歳",調査票!$G$88:$G$97,"正規雇用",調査票!$L$88:$L$97,"給与についての不満")</f>
        <v>0</v>
      </c>
      <c r="LA6" s="319">
        <f>COUNTIFS(調査票!$F$88:$F$97,"40～49歳",調査票!$G$88:$G$97,"正規雇用",調査票!$L$88:$L$97,"給与についての不満")</f>
        <v>0</v>
      </c>
      <c r="LB6" s="319">
        <f>COUNTIFS(調査票!$F$88:$F$97,"50～59歳",調査票!$G$88:$G$97,"正規雇用",調査票!$L$88:$L$97,"給与についての不満")</f>
        <v>0</v>
      </c>
      <c r="LC6" s="319">
        <f>COUNTIFS(調査票!$F$88:$F$97,"60歳以上",調査票!$G$88:$G$97,"正規雇用",調査票!$L$88:$L$97,"給与についての不満")</f>
        <v>0</v>
      </c>
      <c r="LD6" s="320">
        <f>COUNTIFS(調査票!$G$88:$G$97,"正規雇用",調査票!$I$88:$I$97,"１年未満（新卒）",調査票!$L$88:$L$97,"給与についての不満")</f>
        <v>0</v>
      </c>
      <c r="LE6" s="321">
        <f>SUM(KX6:LC6)</f>
        <v>0</v>
      </c>
      <c r="LF6" s="319">
        <f>COUNTIFS(調査票!$F$88:$F$97,"20歳未満",調査票!$G$88:$G$97,"正規雇用",調査票!$L$88:$L$97,"休暇についての不満")</f>
        <v>0</v>
      </c>
      <c r="LG6" s="319">
        <f>COUNTIFS(調査票!$F$88:$F$97,"20～29歳",調査票!$G$88:$G$97,"正規雇用",調査票!$L$88:$L$97,"休暇についての不満")</f>
        <v>0</v>
      </c>
      <c r="LH6" s="319">
        <f>COUNTIFS(調査票!$F$88:$F$97,"30～39歳",調査票!$G$88:$G$97,"正規雇用",調査票!$L$88:$L$97,"休暇についての不満")</f>
        <v>0</v>
      </c>
      <c r="LI6" s="319">
        <f>COUNTIFS(調査票!$F$88:$F$97,"40～49歳",調査票!$G$88:$G$97,"正規雇用",調査票!$L$88:$L$97,"休暇についての不満")</f>
        <v>0</v>
      </c>
      <c r="LJ6" s="319">
        <f>COUNTIFS(調査票!$F$88:$F$97,"50～59歳",調査票!$G$88:$G$97,"正規雇用",調査票!$L$88:$L$97,"休暇についての不満")</f>
        <v>0</v>
      </c>
      <c r="LK6" s="319">
        <f>COUNTIFS(調査票!$F$88:$F$97,"60歳以上",調査票!$G$88:$G$97,"正規雇用",調査票!$L$88:$L$97,"休暇についての不満")</f>
        <v>0</v>
      </c>
      <c r="LL6" s="320">
        <f>COUNTIFS(調査票!$G$88:$G$97,"正規雇用",調査票!$I$88:$I$97,"１年未満（新卒）",調査票!$L$88:$L$97,"休暇についての不満")</f>
        <v>0</v>
      </c>
      <c r="LM6" s="321">
        <f>SUM(LF6:LK6)</f>
        <v>0</v>
      </c>
      <c r="LN6" s="319">
        <f>COUNTIFS(調査票!$F$88:$F$97,"20歳未満",調査票!$G$88:$G$97,"正規雇用",調査票!$L$88:$L$97,"超過勤務、夜勤の負担")</f>
        <v>0</v>
      </c>
      <c r="LO6" s="319">
        <f>COUNTIFS(調査票!$F$88:$F$97,"20～29歳",調査票!$G$88:$G$97,"正規雇用",調査票!$L$88:$L$97,"超過勤務、夜勤の負担")</f>
        <v>0</v>
      </c>
      <c r="LP6" s="319">
        <f>COUNTIFS(調査票!$F$88:$F$97,"30～39歳",調査票!$G$88:$G$97,"正規雇用",調査票!$L$88:$L$97,"超過勤務、夜勤の負担")</f>
        <v>0</v>
      </c>
      <c r="LQ6" s="319">
        <f>COUNTIFS(調査票!$F$88:$F$97,"40～49歳",調査票!$G$88:$G$97,"正規雇用",調査票!$L$88:$L$97,"超過勤務、夜勤の負担")</f>
        <v>0</v>
      </c>
      <c r="LR6" s="319">
        <f>COUNTIFS(調査票!$F$88:$F$97,"50～59歳",調査票!$G$88:$G$97,"正規雇用",調査票!$L$88:$L$97,"超過勤務、夜勤の負担")</f>
        <v>0</v>
      </c>
      <c r="LS6" s="319">
        <f>COUNTIFS(調査票!$F$88:$F$97,"60歳以上",調査票!$G$88:$G$97,"正規雇用",調査票!$L$88:$L$97,"超過勤務、夜勤の負担")</f>
        <v>0</v>
      </c>
      <c r="LT6" s="320">
        <f>COUNTIFS(調査票!$G$88:$G$97,"正規雇用",調査票!$I$88:$I$97,"１年未満（新卒）",調査票!$L$88:$L$97,"超過勤務、夜勤の負担")</f>
        <v>0</v>
      </c>
      <c r="LU6" s="321">
        <f>SUM(LN6:LS6)</f>
        <v>0</v>
      </c>
      <c r="LV6" s="319">
        <f>COUNTIFS(調査票!$F$88:$F$97,"20歳未満",調査票!$G$88:$G$97,"正規雇用",調査票!$L$88:$L$97,"人間関係の悩み")</f>
        <v>0</v>
      </c>
      <c r="LW6" s="319">
        <f>COUNTIFS(調査票!$F$88:$F$97,"20～29歳",調査票!$G$88:$G$97,"正規雇用",調査票!$L$88:$L$97,"人間関係の悩み")</f>
        <v>0</v>
      </c>
      <c r="LX6" s="319">
        <f>COUNTIFS(調査票!$F$88:$F$97,"30～39歳",調査票!$G$88:$G$97,"正規雇用",調査票!$L$88:$L$97,"人間関係の悩み")</f>
        <v>0</v>
      </c>
      <c r="LY6" s="319">
        <f>COUNTIFS(調査票!$F$88:$F$97,"40～49歳",調査票!$G$88:$G$97,"正規雇用",調査票!$L$88:$L$97,"人間関係の悩み")</f>
        <v>0</v>
      </c>
      <c r="LZ6" s="319">
        <f>COUNTIFS(調査票!$F$88:$F$97,"50～59歳",調査票!$G$88:$G$97,"正規雇用",調査票!$L$88:$L$97,"人間関係の悩み")</f>
        <v>0</v>
      </c>
      <c r="MA6" s="319">
        <f>COUNTIFS(調査票!$F$88:$F$97,"60歳以上",調査票!$G$88:$G$97,"正規雇用",調査票!$L$88:$L$97,"人間関係の悩み")</f>
        <v>0</v>
      </c>
      <c r="MB6" s="320">
        <f>COUNTIFS(調査票!$G$88:$G$97,"正規雇用",調査票!$I$88:$I$97,"１年未満（新卒）",調査票!$L$88:$L$97,"人間関係の悩み")</f>
        <v>0</v>
      </c>
      <c r="MC6" s="321">
        <f>SUM(LV6:MA6)</f>
        <v>0</v>
      </c>
      <c r="MD6" s="319">
        <f>COUNTIFS(調査票!$F$88:$F$97,"20歳未満",調査票!$G$88:$G$97,"正規雇用",調査票!$L$88:$L$97,"自分の適性※1への不安")</f>
        <v>0</v>
      </c>
      <c r="ME6" s="319">
        <f>COUNTIFS(調査票!$F$88:$F$97,"20～29歳",調査票!$G$88:$G$97,"正規雇用",調査票!$L$88:$L$97,"自分の適性※1への不安")</f>
        <v>0</v>
      </c>
      <c r="MF6" s="319">
        <f>COUNTIFS(調査票!$F$88:$F$97,"30～39歳",調査票!$G$88:$G$97,"正規雇用",調査票!$L$88:$L$97,"自分の適性※1への不安")</f>
        <v>0</v>
      </c>
      <c r="MG6" s="319">
        <f>COUNTIFS(調査票!$F$88:$F$97,"40～49歳",調査票!$G$88:$G$97,"正規雇用",調査票!$L$88:$L$97,"自分の適性※1への不安")</f>
        <v>0</v>
      </c>
      <c r="MH6" s="319">
        <f>COUNTIFS(調査票!$F$88:$F$97,"50～59歳",調査票!$G$88:$G$97,"正規雇用",調査票!$L$88:$L$97,"自分の適性※1への不安")</f>
        <v>0</v>
      </c>
      <c r="MI6" s="319">
        <f>COUNTIFS(調査票!$F$88:$F$97,"60歳以上",調査票!$G$88:$G$97,"正規雇用",調査票!$L$88:$L$97,"自分の適性※1への不安")</f>
        <v>0</v>
      </c>
      <c r="MJ6" s="320">
        <f>COUNTIFS(調査票!$G$88:$G$97,"正規雇用",調査票!$I$88:$I$97,"１年未満（新卒）",調査票!$L$88:$L$97,"自分の適性※1への不安")</f>
        <v>0</v>
      </c>
      <c r="MK6" s="321">
        <f>SUM(MD6:MI6)</f>
        <v>0</v>
      </c>
      <c r="ML6" s="319">
        <f>COUNTIFS(調査票!$F$88:$F$97,"20歳未満",調査票!$G$88:$G$97,"正規雇用",調査票!$L$88:$L$97,"自分の能力※2への不安")</f>
        <v>0</v>
      </c>
      <c r="MM6" s="319">
        <f>COUNTIFS(調査票!$F$88:$F$97,"20～29歳",調査票!$G$88:$G$97,"正規雇用",調査票!$L$88:$L$97,"自分の能力※2への不安")</f>
        <v>0</v>
      </c>
      <c r="MN6" s="319">
        <f>COUNTIFS(調査票!$F$88:$F$97,"30～39歳",調査票!$G$88:$G$97,"正規雇用",調査票!$L$88:$L$97,"自分の能力※2への不安")</f>
        <v>0</v>
      </c>
      <c r="MO6" s="319">
        <f>COUNTIFS(調査票!$F$88:$F$97,"40～49歳",調査票!$G$88:$G$97,"正規雇用",調査票!$L$88:$L$97,"自分の能力※2への不安")</f>
        <v>0</v>
      </c>
      <c r="MP6" s="319">
        <f>COUNTIFS(調査票!$F$88:$F$97,"50～59歳",調査票!$G$88:$G$97,"正規雇用",調査票!$L$88:$L$97,"自分の能力※2への不安")</f>
        <v>0</v>
      </c>
      <c r="MQ6" s="319">
        <f>COUNTIFS(調査票!$F$88:$F$97,"60歳以上",調査票!$G$88:$G$97,"正規雇用",調査票!$L$88:$L$97,"自分の能力※2への不安")</f>
        <v>0</v>
      </c>
      <c r="MR6" s="320">
        <f>COUNTIFS(調査票!$G$88:$G$97,"正規雇用",調査票!$I$88:$I$97,"１年未満（新卒）",調査票!$L$88:$L$97,"自分の能力※2への不安")</f>
        <v>0</v>
      </c>
      <c r="MS6" s="321">
        <f>SUM(ML6:MQ6)</f>
        <v>0</v>
      </c>
      <c r="MT6" s="319">
        <f>COUNTIFS(調査票!$F$88:$F$97,"20歳未満",調査票!$G$88:$G$97,"正規雇用",調査票!$L$88:$L$97,"医療事故や責任の重さへの不安")</f>
        <v>0</v>
      </c>
      <c r="MU6" s="319">
        <f>COUNTIFS(調査票!$F$88:$F$97,"20～29歳",調査票!$G$88:$G$97,"正規雇用",調査票!$L$88:$L$97,"医療事故や責任の重さへの不安")</f>
        <v>0</v>
      </c>
      <c r="MV6" s="319">
        <f>COUNTIFS(調査票!$F$88:$F$97,"30～39歳",調査票!$G$88:$G$97,"正規雇用",調査票!$L$88:$L$97,"医療事故や責任の重さへの不安")</f>
        <v>0</v>
      </c>
      <c r="MW6" s="319">
        <f>COUNTIFS(調査票!$F$88:$F$97,"40～49歳",調査票!$G$88:$G$97,"正規雇用",調査票!$L$88:$L$97,"医療事故や責任の重さへの不安")</f>
        <v>0</v>
      </c>
      <c r="MX6" s="319">
        <f>COUNTIFS(調査票!$F$88:$F$97,"50～59歳",調査票!$G$88:$G$97,"正規雇用",調査票!$L$88:$L$97,"医療事故や責任の重さへの不安")</f>
        <v>0</v>
      </c>
      <c r="MY6" s="319">
        <f>COUNTIFS(調査票!$F$88:$F$97,"60歳以上",調査票!$G$88:$G$97,"正規雇用",調査票!$L$88:$L$97,"医療事故や責任の重さへの不安")</f>
        <v>0</v>
      </c>
      <c r="MZ6" s="320">
        <f>COUNTIFS(調査票!$G$88:$G$97,"正規雇用",調査票!$I$88:$I$97,"１年未満（新卒）",調査票!$L$88:$L$97,"医療事故や責任の重さへの不安")</f>
        <v>0</v>
      </c>
      <c r="NA6" s="321">
        <f>SUM(MT6:MY6)</f>
        <v>0</v>
      </c>
      <c r="NB6" s="319">
        <f>COUNTIFS(調査票!$F$88:$F$97,"20歳未満",調査票!$G$88:$G$97,"正規雇用",調査票!$L$88:$L$97,"その他")</f>
        <v>0</v>
      </c>
      <c r="NC6" s="319">
        <f>COUNTIFS(調査票!$F$88:$F$97,"20～29歳",調査票!$G$88:$G$97,"正規雇用",調査票!$L$88:$L$97,"その他")</f>
        <v>0</v>
      </c>
      <c r="ND6" s="319">
        <f>COUNTIFS(調査票!$F$88:$F$97,"30～39歳",調査票!$G$88:$G$97,"正規雇用",調査票!$L$88:$L$97,"その他")</f>
        <v>0</v>
      </c>
      <c r="NE6" s="319">
        <f>COUNTIFS(調査票!$F$88:$F$97,"40～49歳",調査票!$G$88:$G$97,"正規雇用",調査票!$L$88:$L$97,"その他")</f>
        <v>0</v>
      </c>
      <c r="NF6" s="319">
        <f>COUNTIFS(調査票!$F$88:$F$97,"50～59歳",調査票!$G$88:$G$97,"正規雇用",調査票!$L$88:$L$97,"その他")</f>
        <v>0</v>
      </c>
      <c r="NG6" s="319">
        <f>COUNTIFS(調査票!$F$88:$F$97,"60歳以上",調査票!$G$88:$G$97,"正規雇用",調査票!$L$88:$L$97,"その他")</f>
        <v>0</v>
      </c>
      <c r="NH6" s="336">
        <f>COUNTIFS(調査票!$G$88:$G$97,"正規雇用",調査票!$I$88:$I$97,"１年未満（新卒）",調査票!$L$88:$L$97,"その他")</f>
        <v>0</v>
      </c>
      <c r="NI6" s="321">
        <f>SUM(NB6:NG6)</f>
        <v>0</v>
      </c>
      <c r="NJ6" s="319">
        <f>COUNTIFS(調査票!$F$88:$F$97,"20歳未満",調査票!$G$88:$G$97,"非正規雇用",調査票!$L$88:$L$97,"結婚")</f>
        <v>0</v>
      </c>
      <c r="NK6" s="319">
        <f>COUNTIFS(調査票!$F$88:$F$97,"20～29歳",調査票!$G$88:$G$97,"非正規雇用",調査票!$L$88:$L$97,"結婚")</f>
        <v>0</v>
      </c>
      <c r="NL6" s="319">
        <f>COUNTIFS(調査票!$F$88:$F$97,"30～39歳",調査票!$G$88:$G$97,"非正規雇用",調査票!$L$88:$L$97,"結婚")</f>
        <v>0</v>
      </c>
      <c r="NM6" s="319">
        <f>COUNTIFS(調査票!$F$88:$F$97,"40～49歳",調査票!$G$88:$G$97,"非正規雇用",調査票!$L$88:$L$97,"結婚")</f>
        <v>0</v>
      </c>
      <c r="NN6" s="319">
        <f>COUNTIFS(調査票!$F$88:$F$97,"50～59歳",調査票!$G$88:$G$97,"非正規雇用",調査票!$L$88:$L$97,"結婚")</f>
        <v>0</v>
      </c>
      <c r="NO6" s="319">
        <f>COUNTIFS(調査票!$F$88:$F$97,"60歳以上",調査票!$G$88:$G$97,"非正規雇用",調査票!$L$88:$L$97,"結婚")</f>
        <v>0</v>
      </c>
      <c r="NP6" s="320">
        <f>COUNTIFS(調査票!$G$88:$G$97,"非正規雇用",調査票!$I$88:$I$97,"１年未満（新卒）",調査票!$L$88:$L$97,"結婚")</f>
        <v>0</v>
      </c>
      <c r="NQ6" s="321">
        <f>SUM(NJ6:NO6)</f>
        <v>0</v>
      </c>
      <c r="NR6" s="319">
        <f>COUNTIFS(調査票!$F$88:$F$97,"20歳未満",調査票!$G$88:$G$97,"非正規雇用",調査票!$L$88:$L$97,"出産・育児")</f>
        <v>0</v>
      </c>
      <c r="NS6" s="319">
        <f>COUNTIFS(調査票!$F$88:$F$97,"20～29歳",調査票!$G$88:$G$97,"非正規雇用",調査票!$L$88:$L$97,"出産・育児")</f>
        <v>0</v>
      </c>
      <c r="NT6" s="319">
        <f>COUNTIFS(調査票!$F$88:$F$97,"30～39歳",調査票!$G$88:$G$97,"非正規雇用",調査票!$L$88:$L$97,"出産・育児")</f>
        <v>0</v>
      </c>
      <c r="NU6" s="319">
        <f>COUNTIFS(調査票!$F$88:$F$97,"40～49歳",調査票!$G$88:$G$97,"非正規雇用",調査票!$L$88:$L$97,"出産・育児")</f>
        <v>0</v>
      </c>
      <c r="NV6" s="319">
        <f>COUNTIFS(調査票!$F$88:$F$97,"50～59歳",調査票!$G$88:$G$97,"非正規雇用",調査票!$L$88:$L$97,"出産・育児")</f>
        <v>0</v>
      </c>
      <c r="NW6" s="319">
        <f>COUNTIFS(調査票!$F$88:$F$97,"60歳以上",調査票!$G$88:$G$97,"非正規雇用",調査票!$L$88:$L$97,"出産・育児")</f>
        <v>0</v>
      </c>
      <c r="NX6" s="319">
        <f>COUNTIFS(調査票!$G$88:$G$97,"非正規雇用",調査票!$I$88:$I$97,"１年未満（新卒）",調査票!$L$88:$L$97,"出産・育児")</f>
        <v>0</v>
      </c>
      <c r="NY6" s="321">
        <f>SUM(NR6:NW6)</f>
        <v>0</v>
      </c>
      <c r="NZ6" s="319">
        <f>COUNTIFS(調査票!$F$88:$F$97,"20歳未満",調査票!$G$88:$G$97,"非正規雇用",調査票!$L$88:$L$97,"健康上の理由（身体的）")</f>
        <v>0</v>
      </c>
      <c r="OA6" s="319">
        <f>COUNTIFS(調査票!$F$88:$F$97,"20～29歳",調査票!$G$88:$G$97,"非正規雇用",調査票!$L$88:$L$97,"健康上の理由（身体的）")</f>
        <v>0</v>
      </c>
      <c r="OB6" s="319">
        <f>COUNTIFS(調査票!$F$88:$F$97,"30～39歳",調査票!$G$88:$G$97,"非正規雇用",調査票!$L$88:$L$97,"健康上の理由（身体的）")</f>
        <v>0</v>
      </c>
      <c r="OC6" s="319">
        <f>COUNTIFS(調査票!$F$88:$F$97,"40～49歳",調査票!$G$88:$G$97,"非正規雇用",調査票!$L$88:$L$97,"健康上の理由（身体的）")</f>
        <v>0</v>
      </c>
      <c r="OD6" s="319">
        <f>COUNTIFS(調査票!$F$88:$F$97,"50～59歳",調査票!$G$88:$G$97,"非正規雇用",調査票!$L$88:$L$97,"健康上の理由（身体的）")</f>
        <v>0</v>
      </c>
      <c r="OE6" s="319">
        <f>COUNTIFS(調査票!$F$88:$F$97,"60歳以上",調査票!$G$88:$G$97,"非正規雇用",調査票!$L$88:$L$97,"健康上の理由（身体的）")</f>
        <v>0</v>
      </c>
      <c r="OF6" s="319">
        <f>COUNTIFS(調査票!$G$88:$G$97,"非正規雇用",調査票!$I$88:$I$97,"１年未満（新卒）",調査票!$L$88:$L$97,"健康上の理由（身体的）")</f>
        <v>0</v>
      </c>
      <c r="OG6" s="321">
        <f>SUM(NZ6:OE6)</f>
        <v>0</v>
      </c>
      <c r="OH6" s="319">
        <f>COUNTIFS(調査票!$F$88:$F$97,"20歳未満",調査票!$G$88:$G$97,"非正規雇用",調査票!$L$88:$L$97,"健康上の理由（精神的）")</f>
        <v>0</v>
      </c>
      <c r="OI6" s="319">
        <f>COUNTIFS(調査票!$F$88:$F$97,"20～29歳",調査票!$G$88:$G$97,"非正規雇用",調査票!$L$88:$L$97,"健康上の理由（精神的）")</f>
        <v>0</v>
      </c>
      <c r="OJ6" s="319">
        <f>COUNTIFS(調査票!$F$88:$F$97,"30～39歳",調査票!$G$88:$G$97,"非正規雇用",調査票!$L$88:$L$97,"健康上の理由（精神的）")</f>
        <v>0</v>
      </c>
      <c r="OK6" s="319">
        <f>COUNTIFS(調査票!$F$88:$F$97,"40～49歳",調査票!$G$88:$G$97,"非正規雇用",調査票!$L$88:$L$97,"健康上の理由（精神的）")</f>
        <v>0</v>
      </c>
      <c r="OL6" s="319">
        <f>COUNTIFS(調査票!$F$88:$F$97,"50～59歳",調査票!$G$88:$G$97,"非正規雇用",調査票!$L$88:$L$97,"健康上の理由（精神的）")</f>
        <v>0</v>
      </c>
      <c r="OM6" s="319">
        <f>COUNTIFS(調査票!$F$88:$F$97,"60歳以上",調査票!$G$88:$G$97,"非正規雇用",調査票!$L$88:$L$97,"健康上の理由（精神的）")</f>
        <v>0</v>
      </c>
      <c r="ON6" s="319">
        <f>COUNTIFS(調査票!$G$88:$G$97,"非正規雇用",調査票!$I$88:$I$97,"１年未満（新卒）",調査票!$L$88:$L$97,"健康上の理由（精神的）")</f>
        <v>0</v>
      </c>
      <c r="OO6" s="321">
        <f>SUM(OH6:OM6)</f>
        <v>0</v>
      </c>
      <c r="OP6" s="319">
        <f>COUNTIFS(調査票!$F$88:$F$97,"20歳未満",調査票!$G$88:$G$97,"非正規雇用",調査票!$L$88:$L$97,"親族の健康・介護")</f>
        <v>0</v>
      </c>
      <c r="OQ6" s="319">
        <f>COUNTIFS(調査票!$F$88:$F$97,"20～29歳",調査票!$G$88:$G$97,"非正規雇用",調査票!$L$88:$L$97,"親族の健康・介護")</f>
        <v>0</v>
      </c>
      <c r="OR6" s="319">
        <f>COUNTIFS(調査票!$F$88:$F$97,"30～39歳",調査票!$G$88:$G$97,"非正規雇用",調査票!$L$88:$L$97,"親族の健康・介護")</f>
        <v>0</v>
      </c>
      <c r="OS6" s="319">
        <f>COUNTIFS(調査票!$F$88:$F$97,"40～49歳",調査票!$G$88:$G$97,"非正規雇用",調査票!$L$88:$L$97,"親族の健康・介護")</f>
        <v>0</v>
      </c>
      <c r="OT6" s="319">
        <f>COUNTIFS(調査票!$F$88:$F$97,"50～59歳",調査票!$G$88:$G$97,"非正規雇用",調査票!$L$88:$L$97,"親族の健康・介護")</f>
        <v>0</v>
      </c>
      <c r="OU6" s="319">
        <f>COUNTIFS(調査票!$F$88:$F$97,"60歳以上",調査票!$G$88:$G$97,"非正規雇用",調査票!$L$88:$L$97,"親族の健康・介護")</f>
        <v>0</v>
      </c>
      <c r="OV6" s="320">
        <f>COUNTIFS(調査票!$G$88:$G$97,"非正規雇用",調査票!$I$88:$I$97,"１年未満（新卒）",調査票!$L$88:$L$97,"親族の健康・介護")</f>
        <v>0</v>
      </c>
      <c r="OW6" s="321">
        <f>SUM(OP6:OU6)</f>
        <v>0</v>
      </c>
      <c r="OX6" s="319">
        <f>COUNTIFS(調査票!$F$88:$F$97,"20歳未満",調査票!$G$88:$G$97,"非正規雇用",調査票!$L$88:$L$97,"転居")</f>
        <v>0</v>
      </c>
      <c r="OY6" s="319">
        <f>COUNTIFS(調査票!$F$88:$F$97,"20～29歳",調査票!$G$88:$G$97,"非正規雇用",調査票!$L$88:$L$97,"転居")</f>
        <v>0</v>
      </c>
      <c r="OZ6" s="319">
        <f>COUNTIFS(調査票!$F$88:$F$97,"30～39歳",調査票!$G$88:$G$97,"非正規雇用",調査票!$L$88:$L$97,"転居")</f>
        <v>0</v>
      </c>
      <c r="PA6" s="319">
        <f>COUNTIFS(調査票!$F$88:$F$97,"40～49歳",調査票!$G$88:$G$97,"非正規雇用",調査票!$L$88:$L$97,"転居")</f>
        <v>0</v>
      </c>
      <c r="PB6" s="319">
        <f>COUNTIFS(調査票!$F$88:$F$97,"50～59歳",調査票!$G$88:$G$97,"非正規雇用",調査票!$L$88:$L$97,"転居")</f>
        <v>0</v>
      </c>
      <c r="PC6" s="319">
        <f>COUNTIFS(調査票!$F$88:$F$97,"60歳以上",調査票!$G$88:$G$97,"非正規雇用",調査票!$L$88:$L$97,"転居")</f>
        <v>0</v>
      </c>
      <c r="PD6" s="320">
        <f>COUNTIFS(調査票!$G$88:$G$97,"非正規雇用",調査票!$I$88:$I$97,"１年未満（新卒）",調査票!$L$88:$L$97,"転居")</f>
        <v>0</v>
      </c>
      <c r="PE6" s="321">
        <f>SUM(OX6:PC6)</f>
        <v>0</v>
      </c>
      <c r="PF6" s="319">
        <f>COUNTIFS(調査票!$F$88:$F$97,"20歳未満",調査票!$G$88:$G$97,"非正規雇用",調査票!$L$88:$L$97,"他の職場（看護職）への興味")</f>
        <v>0</v>
      </c>
      <c r="PG6" s="319">
        <f>COUNTIFS(調査票!$F$88:$F$97,"20～29歳",調査票!$G$88:$G$97,"非正規雇用",調査票!$L$88:$L$97,"他の職場（看護職）への興味")</f>
        <v>0</v>
      </c>
      <c r="PH6" s="319">
        <f>COUNTIFS(調査票!$F$88:$F$97,"30～39歳",調査票!$G$88:$G$97,"非正規雇用",調査票!$L$88:$L$97,"他の職場（看護職）への興味")</f>
        <v>0</v>
      </c>
      <c r="PI6" s="319">
        <f>COUNTIFS(調査票!$F$88:$F$97,"40～49歳",調査票!$G$88:$G$97,"非正規雇用",調査票!$L$88:$L$97,"他の職場（看護職）への興味")</f>
        <v>0</v>
      </c>
      <c r="PJ6" s="319">
        <f>COUNTIFS(調査票!$F$88:$F$97,"50～59歳",調査票!$G$88:$G$97,"非正規雇用",調査票!$L$88:$L$97,"他の職場（看護職）への興味")</f>
        <v>0</v>
      </c>
      <c r="PK6" s="319">
        <f>COUNTIFS(調査票!$F$88:$F$97,"60歳以上",調査票!$G$88:$G$97,"非正規雇用",調査票!$L$88:$L$97,"他の職場（看護職）への興味")</f>
        <v>0</v>
      </c>
      <c r="PL6" s="336">
        <f>COUNTIFS(調査票!$G$88:$G$97,"非正規雇用",調査票!$I$88:$I$97,"１年未満（新卒）",調査票!$L$88:$L$97,"他の職場（看護職）への興味")</f>
        <v>0</v>
      </c>
      <c r="PM6" s="322">
        <f>SUM(PF6:PK6)</f>
        <v>0</v>
      </c>
      <c r="PN6" s="319">
        <f>COUNTIFS(調査票!$F$88:$F$97,"20歳未満",調査票!$G$88:$G$97,"非正規雇用",調査票!$L$88:$L$97,"他職種への興味")</f>
        <v>0</v>
      </c>
      <c r="PO6" s="319">
        <f>COUNTIFS(調査票!$F$88:$F$97,"20～29歳",調査票!$G$88:$G$97,"非正規雇用",調査票!$L$88:$L$97,"他職種への興味")</f>
        <v>0</v>
      </c>
      <c r="PP6" s="319">
        <f>COUNTIFS(調査票!$F$88:$F$97,"30～39歳",調査票!$G$88:$G$97,"非正規雇用",調査票!$L$88:$L$97,"他職種への興味")</f>
        <v>0</v>
      </c>
      <c r="PQ6" s="319">
        <f>COUNTIFS(調査票!$F$88:$F$97,"40～49歳",調査票!$G$88:$G$97,"非正規雇用",調査票!$L$88:$L$97,"他職種への興味")</f>
        <v>0</v>
      </c>
      <c r="PR6" s="319">
        <f>COUNTIFS(調査票!$F$88:$F$97,"50～59歳",調査票!$G$88:$G$97,"非正規雇用",調査票!$L$88:$L$97,"他職種への興味")</f>
        <v>0</v>
      </c>
      <c r="PS6" s="319">
        <f>COUNTIFS(調査票!$F$88:$F$97,"60歳以上",調査票!$G$88:$G$97,"非正規雇用",調査票!$L$88:$L$97,"他職種への興味")</f>
        <v>0</v>
      </c>
      <c r="PT6" s="320">
        <f>COUNTIFS(調査票!$G$88:$G$97,"非正規雇用",調査票!$I$88:$I$97,"１年未満（新卒）",調査票!$L$88:$L$97,"他職種への興味")</f>
        <v>0</v>
      </c>
      <c r="PU6" s="321">
        <f>SUM(PN6:PS6)</f>
        <v>0</v>
      </c>
      <c r="PV6" s="319">
        <f>COUNTIFS(調査票!$F$88:$F$97,"20歳未満",調査票!$G$88:$G$97,"非正規雇用",調査票!$L$88:$L$97,"キャリアアップ目的（進学・資格取得等）")</f>
        <v>0</v>
      </c>
      <c r="PW6" s="319">
        <f>COUNTIFS(調査票!$F$88:$F$97,"20～29歳",調査票!$G$88:$G$97,"非正規雇用",調査票!$L$88:$L$97,"キャリアアップ目的（進学・資格取得等）")</f>
        <v>0</v>
      </c>
      <c r="PX6" s="319">
        <f>COUNTIFS(調査票!$F$88:$F$97,"30～39歳",調査票!$G$88:$G$97,"非正規雇用",調査票!$L$88:$L$97,"キャリアアップ目的（進学・資格取得等）")</f>
        <v>0</v>
      </c>
      <c r="PY6" s="319">
        <f>COUNTIFS(調査票!$F$88:$F$97,"40～49歳",調査票!$G$88:$G$97,"非正規雇用",調査票!$L$88:$L$97,"キャリアアップ目的（進学・資格取得等）")</f>
        <v>0</v>
      </c>
      <c r="PZ6" s="319">
        <f>COUNTIFS(調査票!$F$88:$F$97,"50～59歳",調査票!$G$88:$G$97,"非正規雇用",調査票!$L$88:$L$97,"キャリアアップ目的（進学・資格取得等）")</f>
        <v>0</v>
      </c>
      <c r="QA6" s="319">
        <f>COUNTIFS(調査票!$F$88:$F$97,"60歳以上",調査票!$G$88:$G$97,"非正規雇用",調査票!$L$88:$L$97,"キャリアアップ目的（進学・資格取得等）")</f>
        <v>0</v>
      </c>
      <c r="QB6" s="320">
        <f>COUNTIFS(調査票!$G$88:$G$97,"非正規雇用",調査票!$I$88:$I$97,"１年未満（新卒）",調査票!$L$88:$L$97,"キャリアアップ目的（進学・資格取得等）")</f>
        <v>0</v>
      </c>
      <c r="QC6" s="321">
        <f>SUM(PV6:QA6)</f>
        <v>0</v>
      </c>
      <c r="QD6" s="319">
        <f>COUNTIFS(調査票!$F$88:$F$97,"20歳未満",調査票!$G$88:$G$97,"非正規雇用",調査票!$L$88:$L$97,"給与についての不満")</f>
        <v>0</v>
      </c>
      <c r="QE6" s="319">
        <f>COUNTIFS(調査票!$F$88:$F$97,"20～29歳",調査票!$G$88:$G$97,"非正規雇用",調査票!$L$88:$L$97,"給与についての不満")</f>
        <v>0</v>
      </c>
      <c r="QF6" s="319">
        <f>COUNTIFS(調査票!$F$88:$F$97,"30～39歳",調査票!$G$88:$G$97,"非正規雇用",調査票!$L$88:$L$97,"給与についての不満")</f>
        <v>0</v>
      </c>
      <c r="QG6" s="319">
        <f>COUNTIFS(調査票!$F$88:$F$97,"40～49歳",調査票!$G$88:$G$97,"非正規雇用",調査票!$L$88:$L$97,"給与についての不満")</f>
        <v>0</v>
      </c>
      <c r="QH6" s="319">
        <f>COUNTIFS(調査票!$F$88:$F$97,"50～59歳",調査票!$G$88:$G$97,"非正規雇用",調査票!$L$88:$L$97,"給与についての不満")</f>
        <v>0</v>
      </c>
      <c r="QI6" s="319">
        <f>COUNTIFS(調査票!$F$88:$F$97,"60歳以上",調査票!$G$88:$G$97,"非正規雇用",調査票!$L$88:$L$97,"給与についての不満")</f>
        <v>0</v>
      </c>
      <c r="QJ6" s="320">
        <f>COUNTIFS(調査票!$G$88:$G$97,"非正規雇用",調査票!$I$88:$I$97,"１年未満（新卒）",調査票!$L$88:$L$97,"給与についての不満")</f>
        <v>0</v>
      </c>
      <c r="QK6" s="321">
        <f>SUM(QD6:QI6)</f>
        <v>0</v>
      </c>
      <c r="QL6" s="319">
        <f>COUNTIFS(調査票!$F$88:$F$97,"20歳未満",調査票!$G$88:$G$97,"非正規雇用",調査票!$L$88:$L$97,"休暇についての不満")</f>
        <v>0</v>
      </c>
      <c r="QM6" s="319">
        <f>COUNTIFS(調査票!$F$88:$F$97,"20～29歳",調査票!$G$88:$G$97,"非正規雇用",調査票!$L$88:$L$97,"休暇についての不満")</f>
        <v>0</v>
      </c>
      <c r="QN6" s="319">
        <f>COUNTIFS(調査票!$F$88:$F$97,"30～39歳",調査票!$G$88:$G$97,"非正規雇用",調査票!$L$88:$L$97,"休暇についての不満")</f>
        <v>0</v>
      </c>
      <c r="QO6" s="319">
        <f>COUNTIFS(調査票!$F$88:$F$97,"40～49歳",調査票!$G$88:$G$97,"非正規雇用",調査票!$L$88:$L$97,"休暇についての不満")</f>
        <v>0</v>
      </c>
      <c r="QP6" s="319">
        <f>COUNTIFS(調査票!$F$88:$F$97,"50～59歳",調査票!$G$88:$G$97,"非正規雇用",調査票!$L$88:$L$97,"休暇についての不満")</f>
        <v>0</v>
      </c>
      <c r="QQ6" s="319">
        <f>COUNTIFS(調査票!$F$88:$F$97,"60歳以上",調査票!$G$88:$G$97,"非正規雇用",調査票!$L$88:$L$97,"休暇についての不満")</f>
        <v>0</v>
      </c>
      <c r="QR6" s="320">
        <f>COUNTIFS(調査票!$G$88:$G$97,"非正規雇用",調査票!$I$88:$I$97,"１年未満（新卒）",調査票!$L$88:$L$97,"休暇についての不満")</f>
        <v>0</v>
      </c>
      <c r="QS6" s="321">
        <f>SUM(QL6:QQ6)</f>
        <v>0</v>
      </c>
      <c r="QT6" s="319">
        <f>COUNTIFS(調査票!$F$88:$F$97,"20歳未満",調査票!$G$88:$G$97,"非正規雇用",調査票!$L$88:$L$97,"超過勤務、夜勤の負担")</f>
        <v>0</v>
      </c>
      <c r="QU6" s="319">
        <f>COUNTIFS(調査票!$F$88:$F$97,"20～29歳",調査票!$G$88:$G$97,"非正規雇用",調査票!$L$88:$L$97,"超過勤務、夜勤の負担")</f>
        <v>0</v>
      </c>
      <c r="QV6" s="319">
        <f>COUNTIFS(調査票!$F$88:$F$97,"30～39歳",調査票!$G$88:$G$97,"非正規雇用",調査票!$L$88:$L$97,"超過勤務、夜勤の負担")</f>
        <v>0</v>
      </c>
      <c r="QW6" s="319">
        <f>COUNTIFS(調査票!$F$88:$F$97,"40～49歳",調査票!$G$88:$G$97,"非正規雇用",調査票!$L$88:$L$97,"超過勤務、夜勤の負担")</f>
        <v>0</v>
      </c>
      <c r="QX6" s="319">
        <f>COUNTIFS(調査票!$F$88:$F$97,"50～59歳",調査票!$G$88:$G$97,"非正規雇用",調査票!$L$88:$L$97,"超過勤務、夜勤の負担")</f>
        <v>0</v>
      </c>
      <c r="QY6" s="319">
        <f>COUNTIFS(調査票!$F$88:$F$97,"60歳以上",調査票!$G$88:$G$97,"非正規雇用",調査票!$L$88:$L$97,"超過勤務、夜勤の負担")</f>
        <v>0</v>
      </c>
      <c r="QZ6" s="320">
        <f>COUNTIFS(調査票!$G$88:$G$97,"非正規雇用",調査票!$I$88:$I$97,"１年未満（新卒）",調査票!$L$88:$L$97,"超過勤務、夜勤の負担")</f>
        <v>0</v>
      </c>
      <c r="RA6" s="321">
        <f>SUM(QT6:QY6)</f>
        <v>0</v>
      </c>
      <c r="RB6" s="319">
        <f>COUNTIFS(調査票!$F$88:$F$97,"20歳未満",調査票!$G$88:$G$97,"非正規雇用",調査票!$L$88:$L$97,"人間関係の悩み")</f>
        <v>0</v>
      </c>
      <c r="RC6" s="319">
        <f>COUNTIFS(調査票!$F$88:$F$97,"20～29歳",調査票!$G$88:$G$97,"非正規雇用",調査票!$L$88:$L$97,"人間関係の悩み")</f>
        <v>0</v>
      </c>
      <c r="RD6" s="319">
        <f>COUNTIFS(調査票!$F$88:$F$97,"30～39歳",調査票!$G$88:$G$97,"非正規雇用",調査票!$L$88:$L$97,"人間関係の悩み")</f>
        <v>0</v>
      </c>
      <c r="RE6" s="319">
        <f>COUNTIFS(調査票!$F$88:$F$97,"40～49歳",調査票!$G$88:$G$97,"非正規雇用",調査票!$L$88:$L$97,"人間関係の悩み")</f>
        <v>0</v>
      </c>
      <c r="RF6" s="319">
        <f>COUNTIFS(調査票!$F$88:$F$97,"50～59歳",調査票!$G$88:$G$97,"非正規雇用",調査票!$L$88:$L$97,"人間関係の悩み")</f>
        <v>0</v>
      </c>
      <c r="RG6" s="319">
        <f>COUNTIFS(調査票!$F$88:$F$97,"60歳以上",調査票!$G$88:$G$97,"非正規雇用",調査票!$L$88:$L$97,"人間関係の悩み")</f>
        <v>0</v>
      </c>
      <c r="RH6" s="320">
        <f>COUNTIFS(調査票!$G$88:$G$97,"非正規雇用",調査票!$I$88:$I$97,"１年未満（新卒）",調査票!$L$88:$L$97,"人間関係の悩み")</f>
        <v>0</v>
      </c>
      <c r="RI6" s="321">
        <f>SUM(RB6:RG6)</f>
        <v>0</v>
      </c>
      <c r="RJ6" s="319">
        <f>COUNTIFS(調査票!$F$88:$F$97,"20歳未満",調査票!$G$88:$G$97,"非正規雇用",調査票!$L$88:$L$97,"自分の適性※1への不安")</f>
        <v>0</v>
      </c>
      <c r="RK6" s="319">
        <f>COUNTIFS(調査票!$F$88:$F$97,"20～29歳",調査票!$G$88:$G$97,"非正規雇用",調査票!$L$88:$L$97,"自分の適性※1への不安")</f>
        <v>0</v>
      </c>
      <c r="RL6" s="319">
        <f>COUNTIFS(調査票!$F$88:$F$97,"30～39歳",調査票!$G$88:$G$97,"非正規雇用",調査票!$L$88:$L$97,"自分の適性※1への不安")</f>
        <v>0</v>
      </c>
      <c r="RM6" s="319">
        <f>COUNTIFS(調査票!$F$88:$F$97,"40～49歳",調査票!$G$88:$G$97,"非正規雇用",調査票!$L$88:$L$97,"自分の適性※1への不安")</f>
        <v>0</v>
      </c>
      <c r="RN6" s="319">
        <f>COUNTIFS(調査票!$F$88:$F$97,"50～59歳",調査票!$G$88:$G$97,"非正規雇用",調査票!$L$88:$L$97,"自分の適性※1への不安")</f>
        <v>0</v>
      </c>
      <c r="RO6" s="319">
        <f>COUNTIFS(調査票!$F$88:$F$97,"60歳以上",調査票!$G$88:$G$97,"非正規雇用",調査票!$L$88:$L$97,"自分の適性※1への不安")</f>
        <v>0</v>
      </c>
      <c r="RP6" s="320">
        <f>COUNTIFS(調査票!$G$88:$G$97,"非正規雇用",調査票!$I$88:$I$97,"１年未満（新卒）",調査票!$L$88:$L$97,"自分の適性※1への不安")</f>
        <v>0</v>
      </c>
      <c r="RQ6" s="321">
        <f>SUM(RJ6:RO6)</f>
        <v>0</v>
      </c>
      <c r="RR6" s="319">
        <f>COUNTIFS(調査票!$F$88:$F$97,"20歳未満",調査票!$G$88:$G$97,"非正規雇用",調査票!$L$88:$L$97,"自分の能力※2への不安")</f>
        <v>0</v>
      </c>
      <c r="RS6" s="319">
        <f>COUNTIFS(調査票!$F$88:$F$97,"20～29歳",調査票!$G$88:$G$97,"非正規雇用",調査票!$L$88:$L$97,"自分の能力※2への不安")</f>
        <v>0</v>
      </c>
      <c r="RT6" s="319">
        <f>COUNTIFS(調査票!$F$88:$F$97,"30～39歳",調査票!$G$88:$G$97,"非正規雇用",調査票!$L$88:$L$97,"自分の能力※2への不安")</f>
        <v>0</v>
      </c>
      <c r="RU6" s="319">
        <f>COUNTIFS(調査票!$F$88:$F$97,"40～49歳",調査票!$G$88:$G$97,"非正規雇用",調査票!$L$88:$L$97,"自分の能力※2への不安")</f>
        <v>0</v>
      </c>
      <c r="RV6" s="319">
        <f>COUNTIFS(調査票!$F$88:$F$97,"50～59歳",調査票!$G$88:$G$97,"非正規雇用",調査票!$L$88:$L$97,"自分の能力※2への不安")</f>
        <v>0</v>
      </c>
      <c r="RW6" s="319">
        <f>COUNTIFS(調査票!$F$88:$F$97,"60歳以上",調査票!$G$88:$G$97,"非正規雇用",調査票!$L$88:$L$97,"自分の能力※2への不安")</f>
        <v>0</v>
      </c>
      <c r="RX6" s="320">
        <f>COUNTIFS(調査票!$G$88:$G$97,"非正規雇用",調査票!$I$88:$I$97,"１年未満（新卒）",調査票!$L$88:$L$97,"自分の能力※2への不安")</f>
        <v>0</v>
      </c>
      <c r="RY6" s="321">
        <f>SUM(RR6:RW6)</f>
        <v>0</v>
      </c>
      <c r="RZ6" s="319">
        <f>COUNTIFS(調査票!$F$88:$F$97,"20歳未満",調査票!$G$88:$G$97,"非正規雇用",調査票!$L$88:$L$97,"医療事故や責任の重さへの不安")</f>
        <v>0</v>
      </c>
      <c r="SA6" s="319">
        <f>COUNTIFS(調査票!$F$88:$F$97,"20～29歳",調査票!$G$88:$G$97,"非正規雇用",調査票!$L$88:$L$97,"医療事故や責任の重さへの不安")</f>
        <v>0</v>
      </c>
      <c r="SB6" s="319">
        <f>COUNTIFS(調査票!$F$88:$F$97,"30～39歳",調査票!$G$88:$G$97,"非正規雇用",調査票!$L$88:$L$97,"医療事故や責任の重さへの不安")</f>
        <v>0</v>
      </c>
      <c r="SC6" s="319">
        <f>COUNTIFS(調査票!$F$88:$F$97,"40～49歳",調査票!$G$88:$G$97,"非正規雇用",調査票!$L$88:$L$97,"医療事故や責任の重さへの不安")</f>
        <v>0</v>
      </c>
      <c r="SD6" s="319">
        <f>COUNTIFS(調査票!$F$88:$F$97,"50～59歳",調査票!$G$88:$G$97,"非正規雇用",調査票!$L$88:$L$97,"医療事故や責任の重さへの不安")</f>
        <v>0</v>
      </c>
      <c r="SE6" s="319">
        <f>COUNTIFS(調査票!$F$88:$F$97,"60歳以上",調査票!$G$88:$G$97,"非正規雇用",調査票!$L$88:$L$97,"医療事故や責任の重さへの不安")</f>
        <v>0</v>
      </c>
      <c r="SF6" s="320">
        <f>COUNTIFS(調査票!$G$88:$G$97,"非正規雇用",調査票!$I$88:$I$97,"１年未満（新卒）",調査票!$L$88:$L$97,"医療事故や責任の重さへの不安")</f>
        <v>0</v>
      </c>
      <c r="SG6" s="321">
        <f>SUM(RZ6:SE6)</f>
        <v>0</v>
      </c>
      <c r="SH6" s="319">
        <f>COUNTIFS(調査票!$F$88:$F$97,"20歳未満",調査票!$G$88:$G$97,"非正規雇用",調査票!$L$88:$L$97,"その他")</f>
        <v>0</v>
      </c>
      <c r="SI6" s="319">
        <f>COUNTIFS(調査票!$F$88:$F$97,"20～29歳",調査票!$G$88:$G$97,"非正規雇用",調査票!$L$88:$L$97,"その他")</f>
        <v>0</v>
      </c>
      <c r="SJ6" s="319">
        <f>COUNTIFS(調査票!$F$88:$F$97,"30～39歳",調査票!$G$88:$G$97,"非正規雇用",調査票!$L$88:$L$97,"その他")</f>
        <v>0</v>
      </c>
      <c r="SK6" s="319">
        <f>COUNTIFS(調査票!$F$88:$F$97,"40～49歳",調査票!$G$88:$G$97,"非正規雇用",調査票!$L$88:$L$97,"その他")</f>
        <v>0</v>
      </c>
      <c r="SL6" s="319">
        <f>COUNTIFS(調査票!$F$88:$F$97,"50～59歳",調査票!$G$88:$G$97,"非正規雇用",調査票!$L$88:$L$97,"その他")</f>
        <v>0</v>
      </c>
      <c r="SM6" s="319">
        <f>COUNTIFS(調査票!$F$88:$F$97,"60歳以上",調査票!$G$88:$G$97,"非正規雇用",調査票!$L$88:$L$97,"その他")</f>
        <v>0</v>
      </c>
      <c r="SN6" s="336">
        <f>COUNTIFS(調査票!$G$88:$G$97,"非正規雇用",調査票!$I$88:$I$97,"１年未満（新卒）",調査票!$L$88:$L$97,"その他")</f>
        <v>0</v>
      </c>
      <c r="SO6" s="321">
        <f>SUM(SH6:SM6)</f>
        <v>0</v>
      </c>
      <c r="SP6" s="319">
        <f>ID6+NJ6</f>
        <v>0</v>
      </c>
      <c r="SQ6" s="319">
        <f t="shared" ref="SQ6:VB6" si="3">IE6+NK6</f>
        <v>0</v>
      </c>
      <c r="SR6" s="319">
        <f t="shared" si="3"/>
        <v>0</v>
      </c>
      <c r="SS6" s="319">
        <f t="shared" si="3"/>
        <v>0</v>
      </c>
      <c r="ST6" s="319">
        <f t="shared" si="3"/>
        <v>0</v>
      </c>
      <c r="SU6" s="319">
        <f t="shared" si="3"/>
        <v>0</v>
      </c>
      <c r="SV6" s="320">
        <f t="shared" si="3"/>
        <v>0</v>
      </c>
      <c r="SW6" s="321">
        <f t="shared" si="3"/>
        <v>0</v>
      </c>
      <c r="SX6" s="319">
        <f t="shared" si="3"/>
        <v>0</v>
      </c>
      <c r="SY6" s="319">
        <f t="shared" si="3"/>
        <v>0</v>
      </c>
      <c r="SZ6" s="319">
        <f t="shared" si="3"/>
        <v>0</v>
      </c>
      <c r="TA6" s="319">
        <f t="shared" si="3"/>
        <v>0</v>
      </c>
      <c r="TB6" s="319">
        <f t="shared" si="3"/>
        <v>0</v>
      </c>
      <c r="TC6" s="319">
        <f t="shared" si="3"/>
        <v>0</v>
      </c>
      <c r="TD6" s="319">
        <f t="shared" si="3"/>
        <v>0</v>
      </c>
      <c r="TE6" s="321">
        <f t="shared" si="3"/>
        <v>0</v>
      </c>
      <c r="TF6" s="319">
        <f t="shared" si="3"/>
        <v>0</v>
      </c>
      <c r="TG6" s="319">
        <f t="shared" si="3"/>
        <v>0</v>
      </c>
      <c r="TH6" s="319">
        <f t="shared" si="3"/>
        <v>0</v>
      </c>
      <c r="TI6" s="319">
        <f t="shared" si="3"/>
        <v>0</v>
      </c>
      <c r="TJ6" s="319">
        <f t="shared" si="3"/>
        <v>0</v>
      </c>
      <c r="TK6" s="319">
        <f t="shared" si="3"/>
        <v>0</v>
      </c>
      <c r="TL6" s="319">
        <f t="shared" si="3"/>
        <v>0</v>
      </c>
      <c r="TM6" s="321">
        <f t="shared" si="3"/>
        <v>0</v>
      </c>
      <c r="TN6" s="319">
        <f t="shared" si="3"/>
        <v>0</v>
      </c>
      <c r="TO6" s="319">
        <f t="shared" si="3"/>
        <v>0</v>
      </c>
      <c r="TP6" s="319">
        <f t="shared" si="3"/>
        <v>0</v>
      </c>
      <c r="TQ6" s="319">
        <f t="shared" si="3"/>
        <v>0</v>
      </c>
      <c r="TR6" s="319">
        <f t="shared" si="3"/>
        <v>0</v>
      </c>
      <c r="TS6" s="319">
        <f t="shared" si="3"/>
        <v>0</v>
      </c>
      <c r="TT6" s="319">
        <f t="shared" si="3"/>
        <v>0</v>
      </c>
      <c r="TU6" s="321">
        <f t="shared" si="3"/>
        <v>0</v>
      </c>
      <c r="TV6" s="319">
        <f t="shared" si="3"/>
        <v>0</v>
      </c>
      <c r="TW6" s="319">
        <f t="shared" si="3"/>
        <v>0</v>
      </c>
      <c r="TX6" s="319">
        <f t="shared" si="3"/>
        <v>0</v>
      </c>
      <c r="TY6" s="319">
        <f t="shared" si="3"/>
        <v>0</v>
      </c>
      <c r="TZ6" s="319">
        <f t="shared" si="3"/>
        <v>0</v>
      </c>
      <c r="UA6" s="319">
        <f t="shared" si="3"/>
        <v>0</v>
      </c>
      <c r="UB6" s="320">
        <f t="shared" si="3"/>
        <v>0</v>
      </c>
      <c r="UC6" s="321">
        <f t="shared" si="3"/>
        <v>0</v>
      </c>
      <c r="UD6" s="319">
        <f t="shared" si="3"/>
        <v>0</v>
      </c>
      <c r="UE6" s="319">
        <f t="shared" si="3"/>
        <v>0</v>
      </c>
      <c r="UF6" s="319">
        <f t="shared" si="3"/>
        <v>0</v>
      </c>
      <c r="UG6" s="319">
        <f t="shared" si="3"/>
        <v>0</v>
      </c>
      <c r="UH6" s="319">
        <f t="shared" si="3"/>
        <v>0</v>
      </c>
      <c r="UI6" s="319">
        <f t="shared" si="3"/>
        <v>0</v>
      </c>
      <c r="UJ6" s="320">
        <f t="shared" si="3"/>
        <v>0</v>
      </c>
      <c r="UK6" s="321">
        <f t="shared" si="3"/>
        <v>0</v>
      </c>
      <c r="UL6" s="319">
        <f t="shared" si="3"/>
        <v>0</v>
      </c>
      <c r="UM6" s="319">
        <f t="shared" si="3"/>
        <v>0</v>
      </c>
      <c r="UN6" s="319">
        <f t="shared" si="3"/>
        <v>0</v>
      </c>
      <c r="UO6" s="319">
        <f t="shared" si="3"/>
        <v>0</v>
      </c>
      <c r="UP6" s="319">
        <f t="shared" si="3"/>
        <v>0</v>
      </c>
      <c r="UQ6" s="319">
        <f t="shared" si="3"/>
        <v>0</v>
      </c>
      <c r="UR6" s="336">
        <f t="shared" si="3"/>
        <v>0</v>
      </c>
      <c r="US6" s="322">
        <f t="shared" si="3"/>
        <v>0</v>
      </c>
      <c r="UT6" s="319">
        <f t="shared" si="3"/>
        <v>0</v>
      </c>
      <c r="UU6" s="319">
        <f t="shared" si="3"/>
        <v>0</v>
      </c>
      <c r="UV6" s="319">
        <f t="shared" si="3"/>
        <v>0</v>
      </c>
      <c r="UW6" s="319">
        <f t="shared" si="3"/>
        <v>0</v>
      </c>
      <c r="UX6" s="319">
        <f t="shared" si="3"/>
        <v>0</v>
      </c>
      <c r="UY6" s="319">
        <f t="shared" si="3"/>
        <v>0</v>
      </c>
      <c r="UZ6" s="320">
        <f t="shared" si="3"/>
        <v>0</v>
      </c>
      <c r="VA6" s="321">
        <f t="shared" si="3"/>
        <v>0</v>
      </c>
      <c r="VB6" s="319">
        <f t="shared" si="3"/>
        <v>0</v>
      </c>
      <c r="VC6" s="319">
        <f t="shared" ref="VC6:XN6" si="4">KQ6+PW6</f>
        <v>0</v>
      </c>
      <c r="VD6" s="319">
        <f t="shared" si="4"/>
        <v>0</v>
      </c>
      <c r="VE6" s="319">
        <f t="shared" si="4"/>
        <v>0</v>
      </c>
      <c r="VF6" s="319">
        <f t="shared" si="4"/>
        <v>0</v>
      </c>
      <c r="VG6" s="319">
        <f t="shared" si="4"/>
        <v>0</v>
      </c>
      <c r="VH6" s="320">
        <f t="shared" si="4"/>
        <v>0</v>
      </c>
      <c r="VI6" s="321">
        <f t="shared" si="4"/>
        <v>0</v>
      </c>
      <c r="VJ6" s="319">
        <f t="shared" si="4"/>
        <v>0</v>
      </c>
      <c r="VK6" s="319">
        <f t="shared" si="4"/>
        <v>0</v>
      </c>
      <c r="VL6" s="319">
        <f t="shared" si="4"/>
        <v>0</v>
      </c>
      <c r="VM6" s="319">
        <f t="shared" si="4"/>
        <v>0</v>
      </c>
      <c r="VN6" s="319">
        <f t="shared" si="4"/>
        <v>0</v>
      </c>
      <c r="VO6" s="319">
        <f t="shared" si="4"/>
        <v>0</v>
      </c>
      <c r="VP6" s="320">
        <f t="shared" si="4"/>
        <v>0</v>
      </c>
      <c r="VQ6" s="321">
        <f t="shared" si="4"/>
        <v>0</v>
      </c>
      <c r="VR6" s="319">
        <f t="shared" si="4"/>
        <v>0</v>
      </c>
      <c r="VS6" s="319">
        <f t="shared" si="4"/>
        <v>0</v>
      </c>
      <c r="VT6" s="319">
        <f t="shared" si="4"/>
        <v>0</v>
      </c>
      <c r="VU6" s="319">
        <f t="shared" si="4"/>
        <v>0</v>
      </c>
      <c r="VV6" s="319">
        <f t="shared" si="4"/>
        <v>0</v>
      </c>
      <c r="VW6" s="319">
        <f t="shared" si="4"/>
        <v>0</v>
      </c>
      <c r="VX6" s="320">
        <f t="shared" si="4"/>
        <v>0</v>
      </c>
      <c r="VY6" s="321">
        <f t="shared" si="4"/>
        <v>0</v>
      </c>
      <c r="VZ6" s="319">
        <f t="shared" si="4"/>
        <v>0</v>
      </c>
      <c r="WA6" s="319">
        <f t="shared" si="4"/>
        <v>0</v>
      </c>
      <c r="WB6" s="319">
        <f t="shared" si="4"/>
        <v>0</v>
      </c>
      <c r="WC6" s="319">
        <f t="shared" si="4"/>
        <v>0</v>
      </c>
      <c r="WD6" s="319">
        <f t="shared" si="4"/>
        <v>0</v>
      </c>
      <c r="WE6" s="319">
        <f t="shared" si="4"/>
        <v>0</v>
      </c>
      <c r="WF6" s="320">
        <f t="shared" si="4"/>
        <v>0</v>
      </c>
      <c r="WG6" s="321">
        <f t="shared" si="4"/>
        <v>0</v>
      </c>
      <c r="WH6" s="319">
        <f t="shared" si="4"/>
        <v>0</v>
      </c>
      <c r="WI6" s="319">
        <f t="shared" si="4"/>
        <v>0</v>
      </c>
      <c r="WJ6" s="319">
        <f t="shared" si="4"/>
        <v>0</v>
      </c>
      <c r="WK6" s="319">
        <f t="shared" si="4"/>
        <v>0</v>
      </c>
      <c r="WL6" s="319">
        <f t="shared" si="4"/>
        <v>0</v>
      </c>
      <c r="WM6" s="319">
        <f t="shared" si="4"/>
        <v>0</v>
      </c>
      <c r="WN6" s="320">
        <f t="shared" si="4"/>
        <v>0</v>
      </c>
      <c r="WO6" s="321">
        <f t="shared" si="4"/>
        <v>0</v>
      </c>
      <c r="WP6" s="319">
        <f t="shared" si="4"/>
        <v>0</v>
      </c>
      <c r="WQ6" s="319">
        <f t="shared" si="4"/>
        <v>0</v>
      </c>
      <c r="WR6" s="319">
        <f t="shared" si="4"/>
        <v>0</v>
      </c>
      <c r="WS6" s="319">
        <f t="shared" si="4"/>
        <v>0</v>
      </c>
      <c r="WT6" s="319">
        <f t="shared" si="4"/>
        <v>0</v>
      </c>
      <c r="WU6" s="319">
        <f t="shared" si="4"/>
        <v>0</v>
      </c>
      <c r="WV6" s="320">
        <f t="shared" si="4"/>
        <v>0</v>
      </c>
      <c r="WW6" s="321">
        <f t="shared" si="4"/>
        <v>0</v>
      </c>
      <c r="WX6" s="319">
        <f t="shared" si="4"/>
        <v>0</v>
      </c>
      <c r="WY6" s="319">
        <f t="shared" si="4"/>
        <v>0</v>
      </c>
      <c r="WZ6" s="319">
        <f t="shared" si="4"/>
        <v>0</v>
      </c>
      <c r="XA6" s="319">
        <f t="shared" si="4"/>
        <v>0</v>
      </c>
      <c r="XB6" s="319">
        <f t="shared" si="4"/>
        <v>0</v>
      </c>
      <c r="XC6" s="319">
        <f t="shared" si="4"/>
        <v>0</v>
      </c>
      <c r="XD6" s="320">
        <f t="shared" si="4"/>
        <v>0</v>
      </c>
      <c r="XE6" s="321">
        <f t="shared" si="4"/>
        <v>0</v>
      </c>
      <c r="XF6" s="319">
        <f t="shared" si="4"/>
        <v>0</v>
      </c>
      <c r="XG6" s="319">
        <f t="shared" si="4"/>
        <v>0</v>
      </c>
      <c r="XH6" s="319">
        <f t="shared" si="4"/>
        <v>0</v>
      </c>
      <c r="XI6" s="319">
        <f t="shared" si="4"/>
        <v>0</v>
      </c>
      <c r="XJ6" s="319">
        <f t="shared" si="4"/>
        <v>0</v>
      </c>
      <c r="XK6" s="319">
        <f t="shared" si="4"/>
        <v>0</v>
      </c>
      <c r="XL6" s="320">
        <f t="shared" si="4"/>
        <v>0</v>
      </c>
      <c r="XM6" s="321">
        <f t="shared" si="4"/>
        <v>0</v>
      </c>
      <c r="XN6" s="319">
        <f t="shared" si="4"/>
        <v>0</v>
      </c>
      <c r="XO6" s="319">
        <f t="shared" ref="XO6:XU6" si="5">NC6+SI6</f>
        <v>0</v>
      </c>
      <c r="XP6" s="319">
        <f t="shared" si="5"/>
        <v>0</v>
      </c>
      <c r="XQ6" s="319">
        <f t="shared" si="5"/>
        <v>0</v>
      </c>
      <c r="XR6" s="319">
        <f t="shared" si="5"/>
        <v>0</v>
      </c>
      <c r="XS6" s="319">
        <f t="shared" si="5"/>
        <v>0</v>
      </c>
      <c r="XT6" s="336">
        <f t="shared" si="5"/>
        <v>0</v>
      </c>
      <c r="XU6" s="321">
        <f t="shared" si="5"/>
        <v>0</v>
      </c>
      <c r="XV6" s="337">
        <f>調査票!A101</f>
        <v>0</v>
      </c>
      <c r="XW6" s="319">
        <f>COUNTIFS(調査票!$D$60:$D$69,"保健師",調査票!$G$60:$G$69,"正規雇用",調査票!$N$60:$N$69,"大学院")</f>
        <v>0</v>
      </c>
      <c r="XX6" s="319">
        <f>COUNTIFS(調査票!$D$88:$D$97,"保健師",調査票!$G$88:$G$97,"正規雇用",調査票!$O$88:$O$97,"大学院")</f>
        <v>0</v>
      </c>
      <c r="XY6" s="319">
        <f>COUNTIFS(調査票!$D$60:$D$69,"保健師",調査票!$G$60:$G$69,"正規雇用",調査票!$N$60:$N$69,"大学")</f>
        <v>0</v>
      </c>
      <c r="XZ6" s="319">
        <f>COUNTIFS(調査票!$D$88:$D$97,"保健師",調査票!$G$88:$G$97,"正規雇用",調査票!$O$88:$O$97,"大学")</f>
        <v>0</v>
      </c>
      <c r="YA6" s="319">
        <f>COUNTIFS(調査票!$D$60:$D$69,"保健師",調査票!$G$60:$G$69,"正規雇用",調査票!$N$60:$N$69,"保健師学校")</f>
        <v>0</v>
      </c>
      <c r="YB6" s="319">
        <f>COUNTIFS(調査票!$D$88:$D$97,"保健師",調査票!$G$88:$G$97,"正規雇用",調査票!$O$88:$O$97,"保健師学校")</f>
        <v>0</v>
      </c>
      <c r="YC6" s="319">
        <f>COUNTIFS(調査票!$D$60:$D$69,"保健師",調査票!$G$60:$G$69,"正規雇用",調査票!$N$60:$N$69,"短期大学（保健師専攻科）")</f>
        <v>0</v>
      </c>
      <c r="YD6" s="319">
        <f>COUNTIFS(調査票!$D$88:$D$97,"保健師",調査票!$G$88:$G$97,"正規雇用",調査票!$O$88:$O$97,"短期大学（保健師専攻科）")</f>
        <v>0</v>
      </c>
      <c r="YE6" s="319">
        <f>COUNTIFS(調査票!$D$60:$D$69,"保健師",調査票!$G$60:$G$69,"正規雇用",調査票!$N$60:$N$69,"看護師学校養成所（３年課程、統合カリキュラム）")</f>
        <v>0</v>
      </c>
      <c r="YF6" s="319">
        <f>COUNTIFS(調査票!$D$88:$D$97,"保健師",調査票!$G$88:$G$97,"正規雇用",調査票!$O$88:$O$97,"看護師学校養成所（３年課程、統合カリキュラム）")</f>
        <v>0</v>
      </c>
      <c r="YG6" s="319">
        <f>COUNTIFS(調査票!$D$60:$D$69,"助産師",調査票!$G$60:$G$69,"正規雇用",調査票!$N$60:$N$69,"大学院")</f>
        <v>0</v>
      </c>
      <c r="YH6" s="319">
        <f>COUNTIFS(調査票!$D$88:$D$97,"助産師",調査票!$G$88:$G$97,"正規雇用",調査票!$O$88:$O$97,"大学院")</f>
        <v>0</v>
      </c>
      <c r="YI6" s="319">
        <f>COUNTIFS(調査票!$D$60:$D$69,"助産師",調査票!$G$60:$G$69,"正規雇用",調査票!$N$60:$N$69,"大学")</f>
        <v>0</v>
      </c>
      <c r="YJ6" s="319">
        <f>COUNTIFS(調査票!$D$88:$D$97,"助産師",調査票!$G$88:$G$97,"正規雇用",調査票!$O$88:$O$97,"大学")</f>
        <v>0</v>
      </c>
      <c r="YK6" s="319">
        <f>COUNTIFS(調査票!$D$60:$D$69,"助産師",調査票!$G$60:$G$69,"正規雇用",調査票!$N$60:$N$69,"助産師養成等（別科含）")</f>
        <v>0</v>
      </c>
      <c r="YL6" s="319">
        <f>COUNTIFS(調査票!$D$88:$D$97,"助産師",調査票!$G$88:$G$97,"正規雇用",調査票!$O$88:$O$97,"助産師養成等（別科含）")</f>
        <v>0</v>
      </c>
      <c r="YM6" s="319">
        <f>COUNTIFS(調査票!$D$60:$D$69,"看護師",調査票!$G$60:$G$69,"正規雇用",調査票!$N$60:$N$69,"大学")</f>
        <v>0</v>
      </c>
      <c r="YN6" s="319">
        <f>COUNTIFS(調査票!$D$88:$D$97,"看護師",調査票!$G$88:$G$97,"正規雇用",調査票!$O$88:$O$97,"大学")</f>
        <v>0</v>
      </c>
      <c r="YO6" s="319">
        <f>COUNTIFS(調査票!$D$60:$D$69,"看護師",調査票!$G$60:$G$69,"正規雇用",調査票!$N$60:$N$69,"短期大学（3年課程）")</f>
        <v>0</v>
      </c>
      <c r="YP6" s="319">
        <f>COUNTIFS(調査票!$D$88:$D$97,"看護師",調査票!$G$88:$G$97,"正規雇用",調査票!$O$88:$O$97,"短期大学（3年課程）")</f>
        <v>0</v>
      </c>
      <c r="YQ6" s="319">
        <f>COUNTIFS(調査票!$D$60:$D$69,"看護師",調査票!$G$60:$G$69,"正規雇用",調査票!$N$60:$N$69,"看護師学校養成所（３年課程、統合カリキュラム）")</f>
        <v>0</v>
      </c>
      <c r="YR6" s="319">
        <f>COUNTIFS(調査票!$D$88:$D$97,"看護師",調査票!$G$88:$G$97,"正規雇用",調査票!$O$88:$O$97,"看護師学校養成所（３年課程、統合カリキュラム）")</f>
        <v>0</v>
      </c>
      <c r="YS6" s="319">
        <f>COUNTIFS(調査票!$D$60:$D$69,"看護師",調査票!$G$60:$G$69,"正規雇用",調査票!$N$60:$N$69,"看護師学校養成所・短期大学（２年課程）")</f>
        <v>0</v>
      </c>
      <c r="YT6" s="319">
        <f>COUNTIFS(調査票!$D$88:$D$97,"看護師",調査票!$G$88:$G$97,"正規雇用",調査票!$O$88:$O$97,"看護師学校養成所・短期大学（２年課程）")</f>
        <v>0</v>
      </c>
      <c r="YU6" s="319">
        <f>COUNTIFS(調査票!$D$60:$D$69,"看護師",調査票!$G$60:$G$69,"正規雇用",調査票!$N$60:$N$69,"その他（５年一貫教育・高等学校専攻科 等）")</f>
        <v>0</v>
      </c>
      <c r="YV6" s="319">
        <f>COUNTIFS(調査票!$D$88:$D$97,"看護師",調査票!$G$88:$G$97,"正規雇用",調査票!$O$88:$O$97,"その他（５年一貫教育・高等学校専攻科 等）")</f>
        <v>0</v>
      </c>
      <c r="YW6" s="319">
        <f>COUNTIFS(調査票!$D$60:$D$69,"准看護師",調査票!$G$60:$G$69,"正規雇用",調査票!$N$60:$N$69,"准看護師養成所")</f>
        <v>0</v>
      </c>
      <c r="YX6" s="319">
        <f>COUNTIFS(調査票!$D$88:$D$97,"准看護師",調査票!$G$88:$G$97,"正規雇用",調査票!$O$88:$O$97,"准看護師養成所")</f>
        <v>0</v>
      </c>
      <c r="YY6" s="319">
        <f>COUNTIFS(調査票!$D$60:$D$69,"保健師",調査票!$G$60:$G$69,"非正規雇用",調査票!$N$60:$N$69,"大学院")</f>
        <v>0</v>
      </c>
      <c r="YZ6" s="319">
        <f>COUNTIFS(調査票!$D$88:$D$97,"保健師",調査票!$G$88:$G$97,"非正規雇用",調査票!$O$88:$O$97,"大学院")</f>
        <v>0</v>
      </c>
      <c r="ZA6" s="319">
        <f>COUNTIFS(調査票!$D$60:$D$69,"保健師",調査票!$G$60:$G$69,"非正規雇用",調査票!$N$60:$N$69,"大学")</f>
        <v>0</v>
      </c>
      <c r="ZB6" s="319">
        <f>COUNTIFS(調査票!$D$88:$D$97,"保健師",調査票!$G$88:$G$97,"非正規雇用",調査票!$O$88:$O$97,"大学")</f>
        <v>0</v>
      </c>
      <c r="ZC6" s="319">
        <f>COUNTIFS(調査票!$D$60:$D$69,"保健師",調査票!$G$60:$G$69,"非正規雇用",調査票!$N$60:$N$69,"保健師学校")</f>
        <v>0</v>
      </c>
      <c r="ZD6" s="319">
        <f>COUNTIFS(調査票!$D$88:$D$97,"保健師",調査票!$G$88:$G$97,"非正規雇用",調査票!$O$88:$O$97,"保健師学校")</f>
        <v>0</v>
      </c>
      <c r="ZE6" s="319">
        <f>COUNTIFS(調査票!$D$60:$D$69,"保健師",調査票!$G$60:$G$69,"非正規雇用",調査票!$N$60:$N$69,"短期大学（保健師専攻科）")</f>
        <v>0</v>
      </c>
      <c r="ZF6" s="319">
        <f>COUNTIFS(調査票!$D$88:$D$97,"保健師",調査票!$G$88:$G$97,"非正規雇用",調査票!$O$88:$O$97,"短期大学（保健師専攻科）")</f>
        <v>0</v>
      </c>
      <c r="ZG6" s="319">
        <f>COUNTIFS(調査票!$D$60:$D$69,"保健師",調査票!$G$60:$G$69,"非正規雇用",調査票!$N$60:$N$69,"看護師学校養成所（３年課程、統合カリキュラム）")</f>
        <v>0</v>
      </c>
      <c r="ZH6" s="319">
        <f>COUNTIFS(調査票!$D$88:$D$97,"保健師",調査票!$G$88:$G$97,"非正規雇用",調査票!$O$88:$O$97,"看護師学校養成所（３年課程、統合カリキュラム）")</f>
        <v>0</v>
      </c>
      <c r="ZI6" s="319">
        <f>COUNTIFS(調査票!$D$60:$D$69,"助産師",調査票!$G$60:$G$69,"非正規雇用",調査票!$N$60:$N$69,"大学院")</f>
        <v>0</v>
      </c>
      <c r="ZJ6" s="319">
        <f>COUNTIFS(調査票!$D$88:$D$97,"助産師",調査票!$G$88:$G$97,"非正規雇用",調査票!$O$88:$O$97,"大学院")</f>
        <v>0</v>
      </c>
      <c r="ZK6" s="319">
        <f>COUNTIFS(調査票!$D$60:$D$69,"助産師",調査票!$G$60:$G$69,"非正規雇用",調査票!$N$60:$N$69,"大学")</f>
        <v>0</v>
      </c>
      <c r="ZL6" s="319">
        <f>COUNTIFS(調査票!$D$88:$D$97,"助産師",調査票!$G$88:$G$97,"非正規雇用",調査票!$O$88:$O$97,"大学")</f>
        <v>0</v>
      </c>
      <c r="ZM6" s="319">
        <f>COUNTIFS(調査票!$D$60:$D$69,"助産師",調査票!$G$60:$G$69,"非正規雇用",調査票!$N$60:$N$69,"助産師養成等（別科含）")</f>
        <v>0</v>
      </c>
      <c r="ZN6" s="319">
        <f>COUNTIFS(調査票!$D$88:$D$97,"助産師",調査票!$G$88:$G$97,"非正規雇用",調査票!$O$88:$O$97,"助産師養成等（別科含）")</f>
        <v>0</v>
      </c>
      <c r="ZO6" s="319">
        <f>COUNTIFS(調査票!$D$60:$D$69,"看護師",調査票!$G$60:$G$69,"非正規雇用",調査票!$N$60:$N$69,"大学")</f>
        <v>0</v>
      </c>
      <c r="ZP6" s="319">
        <f>COUNTIFS(調査票!$D$88:$D$97,"看護師",調査票!$G$88:$G$97,"非正規雇用",調査票!$O$88:$O$97,"大学")</f>
        <v>0</v>
      </c>
      <c r="ZQ6" s="319">
        <f>COUNTIFS(調査票!$D$60:$D$69,"看護師",調査票!$G$60:$G$69,"非正規雇用",調査票!$N$60:$N$69,"短期大学（3年課程）")</f>
        <v>0</v>
      </c>
      <c r="ZR6" s="319">
        <f>COUNTIFS(調査票!$D$88:$D$97,"看護師",調査票!$G$88:$G$97,"非正規雇用",調査票!$O$88:$O$97,"短期大学（3年課程）")</f>
        <v>0</v>
      </c>
      <c r="ZS6" s="319">
        <f>COUNTIFS(調査票!$D$60:$D$69,"看護師",調査票!$G$60:$G$69,"非正規雇用",調査票!$N$60:$N$69,"看護師学校養成所（３年課程、統合カリキュラム）")</f>
        <v>0</v>
      </c>
      <c r="ZT6" s="319">
        <f>COUNTIFS(調査票!$D$88:$D$97,"看護師",調査票!$G$88:$G$97,"非正規雇用",調査票!$O$88:$O$97,"看護師学校養成所（３年課程、統合カリキュラム）")</f>
        <v>0</v>
      </c>
      <c r="ZU6" s="319">
        <f>COUNTIFS(調査票!$D$60:$D$69,"看護師",調査票!$G$60:$G$69,"非正規雇用",調査票!$N$60:$N$69,"看護師学校養成所・短期大学（２年課程）")</f>
        <v>0</v>
      </c>
      <c r="ZV6" s="319">
        <f>COUNTIFS(調査票!$D$88:$D$97,"看護師",調査票!$G$88:$G$97,"非正規雇用",調査票!$O$88:$O$97,"看護師学校養成所・短期大学（２年課程）")</f>
        <v>0</v>
      </c>
      <c r="ZW6" s="319">
        <f>COUNTIFS(調査票!$D$60:$D$69,"看護師",調査票!$G$60:$G$69,"非正規雇用",調査票!$N$60:$N$69,"その他（５年一貫教育・高等学校専攻科 等）")</f>
        <v>0</v>
      </c>
      <c r="ZX6" s="319">
        <f>COUNTIFS(調査票!$D$88:$D$97,"看護師",調査票!$G$88:$G$97,"非正規雇用",調査票!$O$88:$O$97,"その他（５年一貫教育・高等学校専攻科 等）")</f>
        <v>0</v>
      </c>
      <c r="ZY6" s="319">
        <f>COUNTIFS(調査票!$D$60:$D$69,"准看護師",調査票!$G$60:$G$69,"非正規雇用",調査票!$N$60:$N$69,"准看護師養成所")</f>
        <v>0</v>
      </c>
      <c r="ZZ6" s="319">
        <f>COUNTIFS(調査票!$D$88:$D$97,"准看護師",調査票!$G$88:$G$97,"非正規雇用",調査票!$O$88:$O$97,"准看護師養成所")</f>
        <v>0</v>
      </c>
      <c r="AAA6" s="319">
        <f>XW6+YY6</f>
        <v>0</v>
      </c>
      <c r="AAB6" s="319">
        <f t="shared" ref="AAB6:ABB6" si="6">XX6+YZ6</f>
        <v>0</v>
      </c>
      <c r="AAC6" s="319">
        <f t="shared" si="6"/>
        <v>0</v>
      </c>
      <c r="AAD6" s="319">
        <f t="shared" si="6"/>
        <v>0</v>
      </c>
      <c r="AAE6" s="319">
        <f t="shared" si="6"/>
        <v>0</v>
      </c>
      <c r="AAF6" s="319">
        <f>YB6+ZD6</f>
        <v>0</v>
      </c>
      <c r="AAG6" s="319">
        <f t="shared" si="6"/>
        <v>0</v>
      </c>
      <c r="AAH6" s="319">
        <f t="shared" si="6"/>
        <v>0</v>
      </c>
      <c r="AAI6" s="319">
        <f t="shared" si="6"/>
        <v>0</v>
      </c>
      <c r="AAJ6" s="319">
        <f t="shared" si="6"/>
        <v>0</v>
      </c>
      <c r="AAK6" s="319">
        <f t="shared" si="6"/>
        <v>0</v>
      </c>
      <c r="AAL6" s="319">
        <f t="shared" si="6"/>
        <v>0</v>
      </c>
      <c r="AAM6" s="319">
        <f t="shared" si="6"/>
        <v>0</v>
      </c>
      <c r="AAN6" s="319">
        <f t="shared" si="6"/>
        <v>0</v>
      </c>
      <c r="AAO6" s="319">
        <f t="shared" si="6"/>
        <v>0</v>
      </c>
      <c r="AAP6" s="319">
        <f t="shared" si="6"/>
        <v>0</v>
      </c>
      <c r="AAQ6" s="319">
        <f t="shared" si="6"/>
        <v>0</v>
      </c>
      <c r="AAR6" s="319">
        <f t="shared" si="6"/>
        <v>0</v>
      </c>
      <c r="AAS6" s="319">
        <f t="shared" si="6"/>
        <v>0</v>
      </c>
      <c r="AAT6" s="319">
        <f t="shared" si="6"/>
        <v>0</v>
      </c>
      <c r="AAU6" s="319">
        <f t="shared" si="6"/>
        <v>0</v>
      </c>
      <c r="AAV6" s="319">
        <f t="shared" si="6"/>
        <v>0</v>
      </c>
      <c r="AAW6" s="319">
        <f t="shared" si="6"/>
        <v>0</v>
      </c>
      <c r="AAX6" s="319">
        <f t="shared" si="6"/>
        <v>0</v>
      </c>
      <c r="AAY6" s="319">
        <f t="shared" si="6"/>
        <v>0</v>
      </c>
      <c r="AAZ6" s="319">
        <f t="shared" si="6"/>
        <v>0</v>
      </c>
      <c r="ABA6" s="319">
        <f t="shared" si="6"/>
        <v>0</v>
      </c>
      <c r="ABB6" s="319">
        <f t="shared" si="6"/>
        <v>0</v>
      </c>
    </row>
    <row r="7" spans="1:730">
      <c r="DQ7" s="295"/>
      <c r="EA7" s="295"/>
      <c r="EK7" s="6"/>
      <c r="EL7" s="315"/>
    </row>
    <row r="8" spans="1:730">
      <c r="A8" s="11"/>
      <c r="C8" s="11"/>
      <c r="D8" s="11"/>
      <c r="E8" s="11"/>
      <c r="F8" s="11"/>
      <c r="EL8" s="314"/>
      <c r="SH8" s="3"/>
      <c r="SI8" s="3"/>
      <c r="SJ8" s="3"/>
      <c r="SK8" s="3"/>
      <c r="SL8" s="3"/>
      <c r="SM8" s="3"/>
      <c r="SN8" s="3"/>
    </row>
    <row r="9" spans="1:730">
      <c r="GN9" s="9"/>
    </row>
    <row r="10" spans="1:730" s="28" customFormat="1">
      <c r="A10" s="30"/>
      <c r="C10" s="30"/>
      <c r="D10" s="30"/>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c r="EL10" s="30"/>
      <c r="EM10" s="30"/>
      <c r="EN10" s="30"/>
      <c r="EO10" s="30"/>
      <c r="EP10" s="30"/>
      <c r="EQ10" s="30"/>
      <c r="ER10" s="30"/>
      <c r="ES10" s="30"/>
      <c r="ET10" s="30"/>
      <c r="EU10" s="30"/>
      <c r="EV10" s="30"/>
      <c r="EW10" s="30"/>
      <c r="EX10" s="30"/>
      <c r="EY10" s="30"/>
      <c r="EZ10" s="30"/>
      <c r="FA10" s="30"/>
      <c r="FB10" s="30"/>
      <c r="FC10" s="30"/>
      <c r="FD10" s="30"/>
      <c r="FE10" s="30"/>
      <c r="FF10" s="30"/>
      <c r="FG10" s="30"/>
      <c r="FH10" s="30"/>
      <c r="FI10" s="30"/>
      <c r="FJ10" s="30"/>
      <c r="FK10" s="30"/>
      <c r="FL10" s="30"/>
      <c r="FM10" s="30"/>
      <c r="FN10" s="30"/>
      <c r="FO10" s="30"/>
      <c r="FP10" s="30"/>
      <c r="FQ10" s="30"/>
      <c r="FR10" s="30"/>
      <c r="FS10" s="30"/>
      <c r="FT10" s="30"/>
      <c r="FU10" s="30"/>
      <c r="FV10" s="30"/>
      <c r="FW10" s="30"/>
      <c r="FX10" s="30"/>
      <c r="FY10" s="30"/>
      <c r="FZ10" s="30"/>
      <c r="GA10" s="30"/>
      <c r="GB10" s="30"/>
      <c r="GC10" s="30"/>
      <c r="GD10" s="30"/>
      <c r="GE10" s="30"/>
      <c r="GF10" s="30"/>
      <c r="GG10" s="30"/>
      <c r="GH10" s="30"/>
      <c r="GI10" s="30"/>
      <c r="GJ10" s="30"/>
      <c r="GK10" s="30"/>
      <c r="GL10" s="30"/>
      <c r="GM10" s="30"/>
      <c r="GN10" s="30"/>
      <c r="GO10" s="30"/>
      <c r="GP10" s="30"/>
      <c r="GQ10" s="30"/>
      <c r="GR10" s="30"/>
      <c r="GS10" s="30"/>
      <c r="GT10" s="30"/>
      <c r="GU10" s="30"/>
      <c r="GV10" s="30"/>
      <c r="GW10" s="30"/>
      <c r="GX10" s="30"/>
      <c r="GY10" s="30"/>
      <c r="GZ10" s="30"/>
      <c r="HA10" s="30"/>
      <c r="HB10" s="30"/>
      <c r="HC10" s="30"/>
      <c r="HD10" s="30"/>
      <c r="HE10" s="30"/>
      <c r="HF10" s="30"/>
      <c r="HG10" s="30"/>
      <c r="HH10" s="30"/>
      <c r="HI10" s="30"/>
      <c r="HJ10" s="30"/>
      <c r="HK10" s="30"/>
      <c r="HL10" s="30"/>
      <c r="HM10" s="30"/>
      <c r="HN10" s="30"/>
      <c r="HO10" s="30"/>
      <c r="HP10" s="30"/>
      <c r="HQ10" s="30"/>
      <c r="HR10" s="30"/>
      <c r="HS10" s="30"/>
      <c r="HT10" s="30"/>
      <c r="HU10" s="30"/>
      <c r="HV10" s="30"/>
      <c r="HW10" s="30"/>
      <c r="HX10" s="30"/>
      <c r="HY10" s="30"/>
      <c r="HZ10" s="30"/>
      <c r="IA10" s="30"/>
      <c r="IB10" s="30"/>
      <c r="IC10" s="30"/>
      <c r="ID10" s="30"/>
      <c r="IE10" s="30"/>
      <c r="IF10" s="30"/>
      <c r="IG10" s="30"/>
      <c r="IH10" s="30"/>
      <c r="II10" s="30"/>
      <c r="IJ10" s="30"/>
      <c r="IK10" s="30"/>
      <c r="IL10" s="30"/>
      <c r="IM10" s="30"/>
      <c r="IN10" s="30"/>
      <c r="IO10" s="30"/>
      <c r="IP10" s="30"/>
      <c r="IQ10" s="30"/>
      <c r="IR10" s="30"/>
      <c r="NJ10" s="30"/>
      <c r="NK10" s="30"/>
      <c r="NL10" s="30"/>
      <c r="NM10" s="30"/>
      <c r="NN10" s="30"/>
      <c r="NO10" s="30"/>
      <c r="NP10" s="30"/>
      <c r="NQ10" s="30"/>
      <c r="NR10" s="30"/>
      <c r="NS10" s="30"/>
      <c r="NT10" s="30"/>
      <c r="NU10" s="30"/>
      <c r="NV10" s="30"/>
      <c r="NW10" s="30"/>
      <c r="NX10" s="30"/>
      <c r="SP10" s="30"/>
      <c r="SQ10" s="30"/>
      <c r="SR10" s="30"/>
      <c r="SS10" s="30"/>
      <c r="ST10" s="30"/>
      <c r="SU10" s="30"/>
      <c r="SV10" s="30"/>
      <c r="SW10" s="30"/>
      <c r="SX10" s="30"/>
      <c r="SY10" s="30"/>
      <c r="SZ10" s="30"/>
      <c r="TA10" s="30"/>
      <c r="TB10" s="30"/>
      <c r="TC10" s="30"/>
      <c r="TD10" s="30"/>
    </row>
    <row r="14" spans="1:730" s="27" customFormat="1">
      <c r="A14" s="31"/>
      <c r="C14" s="31"/>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1"/>
      <c r="CI14" s="31"/>
      <c r="CJ14" s="31"/>
      <c r="CK14" s="31"/>
      <c r="CL14" s="31"/>
      <c r="CM14" s="31"/>
      <c r="CN14" s="31"/>
      <c r="CO14" s="31"/>
      <c r="CP14" s="31"/>
      <c r="CQ14" s="31"/>
      <c r="CR14" s="31"/>
      <c r="CS14" s="31"/>
      <c r="CT14" s="31"/>
      <c r="CU14" s="31"/>
      <c r="CV14" s="31"/>
      <c r="CW14" s="31"/>
      <c r="CX14" s="31"/>
      <c r="CY14" s="31"/>
      <c r="CZ14" s="31"/>
      <c r="DA14" s="31"/>
      <c r="DB14" s="31"/>
      <c r="DC14" s="31"/>
      <c r="DD14" s="31"/>
      <c r="DE14" s="31"/>
      <c r="DF14" s="31"/>
      <c r="DG14" s="31"/>
      <c r="DH14" s="31"/>
      <c r="DI14" s="31"/>
      <c r="DJ14" s="31"/>
      <c r="DK14" s="31"/>
      <c r="DL14" s="31"/>
      <c r="DM14" s="31"/>
      <c r="DN14" s="31"/>
      <c r="DO14" s="31"/>
      <c r="DP14" s="31"/>
      <c r="DQ14" s="31"/>
      <c r="DR14" s="31"/>
      <c r="DS14" s="31"/>
      <c r="DT14" s="31"/>
      <c r="DU14" s="31"/>
      <c r="DV14" s="31"/>
      <c r="DW14" s="31"/>
      <c r="DX14" s="31"/>
      <c r="DY14" s="31"/>
      <c r="DZ14" s="31"/>
      <c r="EA14" s="31"/>
      <c r="EB14" s="31"/>
      <c r="EC14" s="31"/>
      <c r="ED14" s="31"/>
      <c r="EE14" s="31"/>
      <c r="EF14" s="31"/>
      <c r="EG14" s="31"/>
      <c r="EH14" s="31"/>
      <c r="EI14" s="31"/>
      <c r="EJ14" s="31"/>
      <c r="EK14" s="31"/>
      <c r="EL14" s="31"/>
      <c r="EM14" s="31"/>
      <c r="EN14" s="31"/>
      <c r="EO14" s="31"/>
      <c r="EP14" s="31"/>
      <c r="EQ14" s="31"/>
      <c r="ER14" s="31"/>
      <c r="ES14" s="31"/>
      <c r="ET14" s="31"/>
      <c r="EU14" s="31"/>
      <c r="EV14" s="31"/>
      <c r="EW14" s="31"/>
      <c r="EX14" s="31"/>
      <c r="EY14" s="31"/>
      <c r="EZ14" s="31"/>
      <c r="FA14" s="31"/>
      <c r="FB14" s="31"/>
      <c r="FC14" s="31"/>
      <c r="FD14" s="31"/>
      <c r="FE14" s="31"/>
      <c r="FF14" s="31"/>
      <c r="FG14" s="31"/>
      <c r="FH14" s="31"/>
      <c r="FI14" s="31"/>
      <c r="FJ14" s="31"/>
      <c r="FK14" s="31"/>
      <c r="FL14" s="31"/>
      <c r="FM14" s="31"/>
      <c r="FN14" s="31"/>
      <c r="FO14" s="31"/>
      <c r="FP14" s="31"/>
      <c r="FQ14" s="31"/>
      <c r="FR14" s="31"/>
      <c r="FS14" s="31"/>
      <c r="FT14" s="31"/>
      <c r="FU14" s="31"/>
      <c r="FV14" s="31"/>
      <c r="FW14" s="31"/>
      <c r="FX14" s="31"/>
      <c r="FY14" s="31"/>
      <c r="FZ14" s="31"/>
      <c r="GA14" s="31"/>
      <c r="GB14" s="31"/>
      <c r="GC14" s="31"/>
      <c r="GD14" s="31"/>
      <c r="GE14" s="31"/>
      <c r="GF14" s="31"/>
      <c r="GG14" s="31"/>
      <c r="GH14" s="31"/>
      <c r="GI14" s="31"/>
      <c r="GJ14" s="31"/>
      <c r="GK14" s="31"/>
      <c r="GL14" s="31"/>
      <c r="GM14" s="31"/>
      <c r="GN14" s="31"/>
      <c r="GO14" s="31"/>
      <c r="GP14" s="31"/>
      <c r="GQ14" s="31"/>
      <c r="GR14" s="31"/>
      <c r="GS14" s="31"/>
      <c r="GT14" s="31"/>
      <c r="GU14" s="31"/>
      <c r="GV14" s="31"/>
      <c r="GW14" s="31"/>
      <c r="GX14" s="31"/>
      <c r="GY14" s="31"/>
      <c r="GZ14" s="31"/>
      <c r="HA14" s="31"/>
      <c r="HB14" s="31"/>
      <c r="HC14" s="31"/>
      <c r="HD14" s="31"/>
      <c r="HE14" s="31"/>
      <c r="HF14" s="31"/>
      <c r="HG14" s="31"/>
      <c r="HH14" s="31"/>
      <c r="HI14" s="31"/>
      <c r="HJ14" s="31"/>
      <c r="HK14" s="31"/>
      <c r="HL14" s="31"/>
      <c r="HM14" s="31"/>
      <c r="HN14" s="31"/>
      <c r="HO14" s="31"/>
      <c r="HP14" s="31"/>
      <c r="HQ14" s="31"/>
      <c r="HR14" s="31"/>
      <c r="HS14" s="31"/>
      <c r="HT14" s="31"/>
      <c r="HU14" s="31"/>
      <c r="HV14" s="31"/>
      <c r="HW14" s="31"/>
      <c r="HX14" s="31"/>
      <c r="HY14" s="31"/>
      <c r="HZ14" s="31"/>
      <c r="IA14" s="31"/>
      <c r="IB14" s="31"/>
      <c r="IC14" s="31"/>
      <c r="ID14" s="31"/>
      <c r="IE14" s="31"/>
      <c r="IF14" s="31"/>
      <c r="IG14" s="31"/>
      <c r="IH14" s="31"/>
      <c r="II14" s="31"/>
      <c r="IJ14" s="31"/>
      <c r="IK14" s="31"/>
      <c r="IL14" s="31"/>
      <c r="IM14" s="31"/>
      <c r="IN14" s="31"/>
      <c r="IO14" s="31"/>
      <c r="IP14" s="31"/>
      <c r="IQ14" s="31"/>
      <c r="IR14" s="31"/>
      <c r="NJ14" s="31"/>
      <c r="NK14" s="31"/>
      <c r="NL14" s="31"/>
      <c r="NM14" s="31"/>
      <c r="NN14" s="31"/>
      <c r="NO14" s="31"/>
      <c r="NP14" s="31"/>
      <c r="NQ14" s="31"/>
      <c r="NR14" s="31"/>
      <c r="NS14" s="31"/>
      <c r="NT14" s="31"/>
      <c r="NU14" s="31"/>
      <c r="NV14" s="31"/>
      <c r="NW14" s="31"/>
      <c r="NX14" s="31"/>
      <c r="SP14" s="31"/>
      <c r="SQ14" s="31"/>
      <c r="SR14" s="31"/>
      <c r="SS14" s="31"/>
      <c r="ST14" s="31"/>
      <c r="SU14" s="31"/>
      <c r="SV14" s="31"/>
      <c r="SW14" s="31"/>
      <c r="SX14" s="31"/>
      <c r="SY14" s="31"/>
      <c r="SZ14" s="31"/>
      <c r="TA14" s="31"/>
      <c r="TB14" s="31"/>
      <c r="TC14" s="31"/>
      <c r="TD14" s="31"/>
    </row>
  </sheetData>
  <mergeCells count="120">
    <mergeCell ref="IL4:IS4"/>
    <mergeCell ref="IT4:JA4"/>
    <mergeCell ref="MD4:MK4"/>
    <mergeCell ref="LV4:MC4"/>
    <mergeCell ref="LF4:LM4"/>
    <mergeCell ref="LN4:LU4"/>
    <mergeCell ref="JZ4:KG4"/>
    <mergeCell ref="KH4:KO4"/>
    <mergeCell ref="ID3:NI3"/>
    <mergeCell ref="KP4:KW4"/>
    <mergeCell ref="KX4:LE4"/>
    <mergeCell ref="A2:F4"/>
    <mergeCell ref="S2:AD2"/>
    <mergeCell ref="G2:R2"/>
    <mergeCell ref="HI3:HO4"/>
    <mergeCell ref="AE2:AP2"/>
    <mergeCell ref="CY3:DH4"/>
    <mergeCell ref="EM3:ES4"/>
    <mergeCell ref="AE3:AJ4"/>
    <mergeCell ref="AK3:AP4"/>
    <mergeCell ref="CO3:CX4"/>
    <mergeCell ref="AX2:BL2"/>
    <mergeCell ref="BM2:BO4"/>
    <mergeCell ref="BC3:BG4"/>
    <mergeCell ref="BP2:CD2"/>
    <mergeCell ref="CE2:DH2"/>
    <mergeCell ref="EM2:FG2"/>
    <mergeCell ref="EC3:EL4"/>
    <mergeCell ref="DI3:DR4"/>
    <mergeCell ref="DS3:EB4"/>
    <mergeCell ref="DI2:EL2"/>
    <mergeCell ref="G3:L4"/>
    <mergeCell ref="M3:R4"/>
    <mergeCell ref="S3:X4"/>
    <mergeCell ref="Y3:AD4"/>
    <mergeCell ref="BZ3:CD4"/>
    <mergeCell ref="AW2:AW5"/>
    <mergeCell ref="AX3:BB4"/>
    <mergeCell ref="BU3:BY4"/>
    <mergeCell ref="BP3:BT4"/>
    <mergeCell ref="BH3:BL4"/>
    <mergeCell ref="AQ2:AV2"/>
    <mergeCell ref="AQ3:AV4"/>
    <mergeCell ref="FJ2:GM2"/>
    <mergeCell ref="FH2:FI4"/>
    <mergeCell ref="HB3:HH4"/>
    <mergeCell ref="GU3:HA4"/>
    <mergeCell ref="GN2:HH2"/>
    <mergeCell ref="FJ3:FS4"/>
    <mergeCell ref="CE3:CN4"/>
    <mergeCell ref="ET3:EZ4"/>
    <mergeCell ref="FA3:FG4"/>
    <mergeCell ref="GD3:GM4"/>
    <mergeCell ref="FT3:GC4"/>
    <mergeCell ref="GN3:GT4"/>
    <mergeCell ref="HI2:IC2"/>
    <mergeCell ref="ID2:NI2"/>
    <mergeCell ref="SP2:XV2"/>
    <mergeCell ref="SP4:SW4"/>
    <mergeCell ref="SX4:TE4"/>
    <mergeCell ref="TF4:TM4"/>
    <mergeCell ref="TN4:TU4"/>
    <mergeCell ref="TV4:UC4"/>
    <mergeCell ref="UD4:UK4"/>
    <mergeCell ref="UL4:US4"/>
    <mergeCell ref="UT4:VA4"/>
    <mergeCell ref="VB4:VI4"/>
    <mergeCell ref="VJ4:VQ4"/>
    <mergeCell ref="VR4:VY4"/>
    <mergeCell ref="VZ4:WG4"/>
    <mergeCell ref="MT4:NA4"/>
    <mergeCell ref="JB4:JI4"/>
    <mergeCell ref="JJ4:JQ4"/>
    <mergeCell ref="JR4:JY4"/>
    <mergeCell ref="ID4:IK4"/>
    <mergeCell ref="ML4:MS4"/>
    <mergeCell ref="HW3:IC4"/>
    <mergeCell ref="HP3:HV4"/>
    <mergeCell ref="NB4:NI4"/>
    <mergeCell ref="NJ2:SO2"/>
    <mergeCell ref="NJ3:SO3"/>
    <mergeCell ref="NJ4:NQ4"/>
    <mergeCell ref="NR4:NY4"/>
    <mergeCell ref="NZ4:OG4"/>
    <mergeCell ref="OH4:OO4"/>
    <mergeCell ref="OP4:OW4"/>
    <mergeCell ref="OX4:PE4"/>
    <mergeCell ref="PF4:PM4"/>
    <mergeCell ref="PN4:PU4"/>
    <mergeCell ref="PV4:QC4"/>
    <mergeCell ref="QD4:QK4"/>
    <mergeCell ref="RZ4:SG4"/>
    <mergeCell ref="SH4:SO4"/>
    <mergeCell ref="SP3:XV3"/>
    <mergeCell ref="QL4:QS4"/>
    <mergeCell ref="QT4:RA4"/>
    <mergeCell ref="RB4:RI4"/>
    <mergeCell ref="RJ4:RQ4"/>
    <mergeCell ref="RR4:RY4"/>
    <mergeCell ref="WX4:XE4"/>
    <mergeCell ref="XF4:XM4"/>
    <mergeCell ref="XN4:XV4"/>
    <mergeCell ref="WH4:WO4"/>
    <mergeCell ref="WP4:WW4"/>
    <mergeCell ref="AAA3:ABB3"/>
    <mergeCell ref="AAA4:AAJ4"/>
    <mergeCell ref="AAK4:AAP4"/>
    <mergeCell ref="AAQ4:AAZ4"/>
    <mergeCell ref="ABA4:ABB4"/>
    <mergeCell ref="XW2:ABB2"/>
    <mergeCell ref="YY3:ZZ3"/>
    <mergeCell ref="YY4:ZH4"/>
    <mergeCell ref="ZI4:ZN4"/>
    <mergeCell ref="ZO4:ZX4"/>
    <mergeCell ref="ZY4:ZZ4"/>
    <mergeCell ref="YG4:YL4"/>
    <mergeCell ref="YM4:YV4"/>
    <mergeCell ref="YW4:YX4"/>
    <mergeCell ref="XW3:YX3"/>
    <mergeCell ref="XW4:YF4"/>
  </mergeCells>
  <phoneticPr fontId="1"/>
  <conditionalFormatting sqref="EC6:EL6">
    <cfRule type="cellIs" dxfId="3" priority="3" operator="equal">
      <formula>0</formula>
    </cfRule>
  </conditionalFormatting>
  <conditionalFormatting sqref="DI6:DR6">
    <cfRule type="cellIs" dxfId="2" priority="2" operator="equal">
      <formula>0</formula>
    </cfRule>
  </conditionalFormatting>
  <conditionalFormatting sqref="DS6:EB6">
    <cfRule type="cellIs" dxfId="1" priority="1" operator="equal">
      <formula>0</formula>
    </cfRule>
  </conditionalFormatting>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1AB1C-DEE1-4E6A-8D81-5D40E9BD00EF}">
  <dimension ref="A1:FX14"/>
  <sheetViews>
    <sheetView workbookViewId="0">
      <selection activeCell="A6" sqref="A6"/>
    </sheetView>
  </sheetViews>
  <sheetFormatPr defaultRowHeight="18"/>
  <cols>
    <col min="1" max="1" width="14.75" style="3" customWidth="1"/>
    <col min="2" max="51" width="5.08203125" style="3" customWidth="1"/>
    <col min="52" max="52" width="15.58203125" style="3" customWidth="1"/>
    <col min="53" max="54" width="6.25" style="3" customWidth="1"/>
    <col min="55" max="55" width="4.83203125" style="3" customWidth="1"/>
    <col min="56" max="56" width="15.58203125" style="3" customWidth="1"/>
    <col min="57" max="62" width="5.08203125" style="3" customWidth="1"/>
    <col min="63" max="63" width="15.58203125" style="3" customWidth="1"/>
    <col min="64" max="94" width="5.08203125" style="3" customWidth="1"/>
    <col min="95" max="106" width="5.08203125" style="172" customWidth="1"/>
    <col min="107" max="115" width="5.08203125" style="3" customWidth="1"/>
    <col min="116" max="133" width="5.08203125" customWidth="1"/>
    <col min="134" max="134" width="15.58203125" customWidth="1"/>
    <col min="135" max="137" width="5.08203125" customWidth="1"/>
    <col min="138" max="138" width="15.58203125" customWidth="1"/>
    <col min="139" max="145" width="5.08203125" customWidth="1"/>
    <col min="146" max="146" width="15.58203125" customWidth="1"/>
    <col min="147" max="150" width="5.08203125" customWidth="1"/>
    <col min="152" max="165" width="6.25" customWidth="1"/>
    <col min="168" max="172" width="5.58203125" customWidth="1"/>
    <col min="173" max="173" width="14.08203125" customWidth="1"/>
    <col min="174" max="179" width="5.58203125" customWidth="1"/>
    <col min="180" max="180" width="14.58203125" customWidth="1"/>
  </cols>
  <sheetData>
    <row r="1" spans="1:180" ht="47.15" customHeight="1"/>
    <row r="2" spans="1:180" ht="18" customHeight="1">
      <c r="A2" s="420"/>
      <c r="B2" s="734" t="s">
        <v>147</v>
      </c>
      <c r="C2" s="734"/>
      <c r="D2" s="734"/>
      <c r="E2" s="734"/>
      <c r="F2" s="734"/>
      <c r="G2" s="734"/>
      <c r="H2" s="734"/>
      <c r="I2" s="734"/>
      <c r="J2" s="734"/>
      <c r="K2" s="734"/>
      <c r="L2" s="734"/>
      <c r="M2" s="734"/>
      <c r="N2" s="734"/>
      <c r="O2" s="734"/>
      <c r="P2" s="734"/>
      <c r="Q2" s="734"/>
      <c r="R2" s="734"/>
      <c r="S2" s="734"/>
      <c r="T2" s="734"/>
      <c r="U2" s="734"/>
      <c r="V2" s="734"/>
      <c r="W2" s="734"/>
      <c r="X2" s="734"/>
      <c r="Y2" s="734"/>
      <c r="Z2" s="734"/>
      <c r="AA2" s="734"/>
      <c r="AB2" s="734"/>
      <c r="AC2" s="734"/>
      <c r="AD2" s="734"/>
      <c r="AE2" s="734"/>
      <c r="AF2" s="734"/>
      <c r="AG2" s="734"/>
      <c r="AH2" s="734"/>
      <c r="AI2" s="734"/>
      <c r="AJ2" s="734"/>
      <c r="AK2" s="734"/>
      <c r="AL2" s="734"/>
      <c r="AM2" s="734"/>
      <c r="AN2" s="734"/>
      <c r="AO2" s="734"/>
      <c r="AP2" s="734"/>
      <c r="AQ2" s="734"/>
      <c r="AR2" s="734"/>
      <c r="AS2" s="734"/>
      <c r="AT2" s="734"/>
      <c r="AU2" s="734"/>
      <c r="AV2" s="734"/>
      <c r="AW2" s="734"/>
      <c r="AX2" s="734"/>
      <c r="AY2" s="734"/>
      <c r="AZ2" s="734"/>
      <c r="BA2" s="734"/>
      <c r="BB2" s="734"/>
      <c r="BC2" s="734"/>
      <c r="BD2" s="734"/>
      <c r="BE2" s="734"/>
      <c r="BF2" s="734"/>
      <c r="BG2" s="734"/>
      <c r="BH2" s="734"/>
      <c r="BI2" s="734"/>
      <c r="BJ2" s="734"/>
      <c r="BK2" s="734"/>
      <c r="BL2" s="731" t="s">
        <v>172</v>
      </c>
      <c r="BM2" s="731"/>
      <c r="BN2" s="731"/>
      <c r="BO2" s="731"/>
      <c r="BP2" s="731"/>
      <c r="BQ2" s="731"/>
      <c r="BR2" s="731"/>
      <c r="BS2" s="731"/>
      <c r="BT2" s="731"/>
      <c r="BU2" s="731"/>
      <c r="BV2" s="731"/>
      <c r="BW2" s="731"/>
      <c r="BX2" s="731"/>
      <c r="BY2" s="731"/>
      <c r="BZ2" s="731"/>
      <c r="CA2" s="731"/>
      <c r="CB2" s="731"/>
      <c r="CC2" s="731"/>
      <c r="CD2" s="731"/>
      <c r="CE2" s="731"/>
      <c r="CF2" s="731"/>
      <c r="CG2" s="731"/>
      <c r="CH2" s="731"/>
      <c r="CI2" s="731"/>
      <c r="CJ2" s="731"/>
      <c r="CK2" s="731"/>
      <c r="CL2" s="731"/>
      <c r="CM2" s="731"/>
      <c r="CN2" s="731"/>
      <c r="CO2" s="731"/>
      <c r="CP2" s="731"/>
      <c r="CQ2" s="731"/>
      <c r="CR2" s="731"/>
      <c r="CS2" s="731"/>
      <c r="CT2" s="731"/>
      <c r="CU2" s="731"/>
      <c r="CV2" s="731"/>
      <c r="CW2" s="731"/>
      <c r="CX2" s="731"/>
      <c r="CY2" s="731"/>
      <c r="CZ2" s="731"/>
      <c r="DA2" s="731"/>
      <c r="DB2" s="731"/>
      <c r="DC2" s="731"/>
      <c r="DD2" s="731"/>
      <c r="DE2" s="731"/>
      <c r="DF2" s="731"/>
      <c r="DG2" s="731"/>
      <c r="DH2" s="731"/>
      <c r="DI2" s="731"/>
      <c r="DJ2" s="731"/>
      <c r="DK2" s="731"/>
      <c r="DL2" s="731"/>
      <c r="DM2" s="731"/>
      <c r="DN2" s="731"/>
      <c r="DO2" s="731"/>
      <c r="DP2" s="731"/>
      <c r="DQ2" s="731"/>
      <c r="DR2" s="731"/>
      <c r="DS2" s="731"/>
      <c r="DT2" s="731"/>
      <c r="DU2" s="731"/>
      <c r="DV2" s="731"/>
      <c r="DW2" s="731"/>
      <c r="DX2" s="731"/>
      <c r="DY2" s="731"/>
      <c r="DZ2" s="731"/>
      <c r="EA2" s="731"/>
      <c r="EB2" s="731"/>
      <c r="EC2" s="731"/>
      <c r="ED2" s="731"/>
      <c r="EE2" s="731"/>
      <c r="EF2" s="731"/>
      <c r="EG2" s="731"/>
      <c r="EH2" s="731"/>
      <c r="EI2" s="731"/>
      <c r="EJ2" s="731"/>
      <c r="EK2" s="731"/>
      <c r="EL2" s="731"/>
      <c r="EM2" s="731"/>
      <c r="EN2" s="731"/>
      <c r="EO2" s="731"/>
      <c r="EP2" s="731"/>
      <c r="EQ2" s="731"/>
      <c r="ER2" s="731"/>
      <c r="ES2" s="731"/>
      <c r="ET2" s="731"/>
      <c r="EU2" s="777" t="s">
        <v>289</v>
      </c>
      <c r="EV2" s="778"/>
      <c r="EW2" s="778"/>
      <c r="EX2" s="778"/>
      <c r="EY2" s="778"/>
      <c r="EZ2" s="778"/>
      <c r="FA2" s="778"/>
      <c r="FB2" s="778"/>
      <c r="FC2" s="778"/>
      <c r="FD2" s="778"/>
      <c r="FE2" s="778"/>
      <c r="FF2" s="778"/>
      <c r="FG2" s="778"/>
      <c r="FH2" s="778"/>
      <c r="FI2" s="779"/>
      <c r="FJ2" s="144" t="s">
        <v>290</v>
      </c>
      <c r="FK2" s="306" t="s">
        <v>544</v>
      </c>
      <c r="FL2" s="756" t="s">
        <v>546</v>
      </c>
      <c r="FM2" s="756"/>
      <c r="FN2" s="756"/>
      <c r="FO2" s="756"/>
      <c r="FP2" s="756"/>
      <c r="FQ2" s="756"/>
      <c r="FR2" s="756"/>
      <c r="FS2" s="756"/>
      <c r="FT2" s="756"/>
      <c r="FU2" s="756"/>
      <c r="FV2" s="756"/>
      <c r="FW2" s="756"/>
      <c r="FX2" s="756"/>
    </row>
    <row r="3" spans="1:180" s="84" customFormat="1" ht="18" customHeight="1">
      <c r="A3" s="420"/>
      <c r="B3" s="83" t="s">
        <v>148</v>
      </c>
      <c r="C3" s="772" t="s">
        <v>149</v>
      </c>
      <c r="D3" s="773"/>
      <c r="E3" s="773"/>
      <c r="F3" s="773"/>
      <c r="G3" s="773"/>
      <c r="H3" s="773"/>
      <c r="I3" s="773"/>
      <c r="J3" s="773"/>
      <c r="K3" s="773"/>
      <c r="L3" s="773"/>
      <c r="M3" s="773"/>
      <c r="N3" s="773"/>
      <c r="O3" s="773"/>
      <c r="P3" s="773"/>
      <c r="Q3" s="773"/>
      <c r="R3" s="773"/>
      <c r="S3" s="773"/>
      <c r="T3" s="773"/>
      <c r="U3" s="773"/>
      <c r="V3" s="773"/>
      <c r="W3" s="773"/>
      <c r="X3" s="773"/>
      <c r="Y3" s="773"/>
      <c r="Z3" s="773"/>
      <c r="AA3" s="773"/>
      <c r="AB3" s="773"/>
      <c r="AC3" s="773"/>
      <c r="AD3" s="773"/>
      <c r="AE3" s="773"/>
      <c r="AF3" s="773"/>
      <c r="AG3" s="773"/>
      <c r="AH3" s="773"/>
      <c r="AI3" s="773"/>
      <c r="AJ3" s="773"/>
      <c r="AK3" s="773"/>
      <c r="AL3" s="773"/>
      <c r="AM3" s="773"/>
      <c r="AN3" s="773"/>
      <c r="AO3" s="773"/>
      <c r="AP3" s="773"/>
      <c r="AQ3" s="774"/>
      <c r="AR3" s="772" t="s">
        <v>158</v>
      </c>
      <c r="AS3" s="773"/>
      <c r="AT3" s="773"/>
      <c r="AU3" s="773"/>
      <c r="AV3" s="773"/>
      <c r="AW3" s="773"/>
      <c r="AX3" s="773"/>
      <c r="AY3" s="773"/>
      <c r="AZ3" s="774"/>
      <c r="BA3" s="772" t="s">
        <v>162</v>
      </c>
      <c r="BB3" s="773"/>
      <c r="BC3" s="774"/>
      <c r="BD3" s="85" t="s">
        <v>163</v>
      </c>
      <c r="BE3" s="772" t="s">
        <v>165</v>
      </c>
      <c r="BF3" s="773"/>
      <c r="BG3" s="773"/>
      <c r="BH3" s="773"/>
      <c r="BI3" s="773"/>
      <c r="BJ3" s="773"/>
      <c r="BK3" s="774"/>
      <c r="BL3" s="87" t="s">
        <v>148</v>
      </c>
      <c r="BM3" s="790" t="s">
        <v>149</v>
      </c>
      <c r="BN3" s="790"/>
      <c r="BO3" s="790"/>
      <c r="BP3" s="790"/>
      <c r="BQ3" s="790"/>
      <c r="BR3" s="790"/>
      <c r="BS3" s="790"/>
      <c r="BT3" s="790"/>
      <c r="BU3" s="790"/>
      <c r="BV3" s="790"/>
      <c r="BW3" s="790"/>
      <c r="BX3" s="790"/>
      <c r="BY3" s="790"/>
      <c r="BZ3" s="790"/>
      <c r="CA3" s="790"/>
      <c r="CB3" s="790"/>
      <c r="CC3" s="790"/>
      <c r="CD3" s="790"/>
      <c r="CE3" s="790"/>
      <c r="CF3" s="790"/>
      <c r="CG3" s="790"/>
      <c r="CH3" s="790"/>
      <c r="CI3" s="790"/>
      <c r="CJ3" s="790"/>
      <c r="CK3" s="790"/>
      <c r="CL3" s="790"/>
      <c r="CM3" s="790"/>
      <c r="CN3" s="790"/>
      <c r="CO3" s="790"/>
      <c r="CP3" s="790"/>
      <c r="CQ3" s="790"/>
      <c r="CR3" s="790"/>
      <c r="CS3" s="790"/>
      <c r="CT3" s="790"/>
      <c r="CU3" s="790"/>
      <c r="CV3" s="790"/>
      <c r="CW3" s="790"/>
      <c r="CX3" s="790"/>
      <c r="CY3" s="790"/>
      <c r="CZ3" s="790"/>
      <c r="DA3" s="790"/>
      <c r="DB3" s="790"/>
      <c r="DC3" s="790"/>
      <c r="DD3" s="790"/>
      <c r="DE3" s="790"/>
      <c r="DF3" s="790"/>
      <c r="DG3" s="790"/>
      <c r="DH3" s="790"/>
      <c r="DI3" s="790"/>
      <c r="DJ3" s="790"/>
      <c r="DK3" s="790"/>
      <c r="DL3" s="790"/>
      <c r="DM3" s="790"/>
      <c r="DN3" s="790"/>
      <c r="DO3" s="790"/>
      <c r="DP3" s="790"/>
      <c r="DQ3" s="790"/>
      <c r="DR3" s="790"/>
      <c r="DS3" s="790"/>
      <c r="DT3" s="790"/>
      <c r="DU3" s="790"/>
      <c r="DV3" s="790"/>
      <c r="DW3" s="790"/>
      <c r="DX3" s="787" t="s">
        <v>158</v>
      </c>
      <c r="DY3" s="788"/>
      <c r="DZ3" s="788"/>
      <c r="EA3" s="788"/>
      <c r="EB3" s="788"/>
      <c r="EC3" s="788"/>
      <c r="ED3" s="87"/>
      <c r="EE3" s="787" t="s">
        <v>162</v>
      </c>
      <c r="EF3" s="788"/>
      <c r="EG3" s="789"/>
      <c r="EH3" s="88" t="s">
        <v>163</v>
      </c>
      <c r="EI3" s="787" t="s">
        <v>165</v>
      </c>
      <c r="EJ3" s="788"/>
      <c r="EK3" s="788"/>
      <c r="EL3" s="788"/>
      <c r="EM3" s="788"/>
      <c r="EN3" s="788"/>
      <c r="EO3" s="788"/>
      <c r="EP3" s="789"/>
      <c r="EQ3" s="786" t="s">
        <v>180</v>
      </c>
      <c r="ER3" s="786"/>
      <c r="ES3" s="757" t="s">
        <v>183</v>
      </c>
      <c r="ET3" s="757"/>
      <c r="EU3" s="780" t="s">
        <v>145</v>
      </c>
      <c r="EV3" s="783" t="s">
        <v>291</v>
      </c>
      <c r="EW3" s="784"/>
      <c r="EX3" s="784"/>
      <c r="EY3" s="784"/>
      <c r="EZ3" s="784"/>
      <c r="FA3" s="784"/>
      <c r="FB3" s="784"/>
      <c r="FC3" s="784"/>
      <c r="FD3" s="784"/>
      <c r="FE3" s="784"/>
      <c r="FF3" s="784"/>
      <c r="FG3" s="784"/>
      <c r="FH3" s="784"/>
      <c r="FI3" s="785"/>
      <c r="FJ3" s="757" t="s">
        <v>145</v>
      </c>
      <c r="FK3" s="761" t="s">
        <v>545</v>
      </c>
      <c r="FL3" s="764" t="s">
        <v>549</v>
      </c>
      <c r="FM3" s="764"/>
      <c r="FN3" s="757" t="s">
        <v>550</v>
      </c>
      <c r="FO3" s="757"/>
      <c r="FP3" s="757"/>
      <c r="FQ3" s="757"/>
      <c r="FR3" s="757" t="s">
        <v>555</v>
      </c>
      <c r="FS3" s="757"/>
      <c r="FT3" s="757"/>
      <c r="FU3" s="757"/>
      <c r="FV3" s="757"/>
      <c r="FW3" s="757"/>
      <c r="FX3" s="757"/>
    </row>
    <row r="4" spans="1:180" ht="24" customHeight="1">
      <c r="A4" s="747"/>
      <c r="B4" s="766" t="s">
        <v>145</v>
      </c>
      <c r="C4" s="734" t="s">
        <v>62</v>
      </c>
      <c r="D4" s="734"/>
      <c r="E4" s="734"/>
      <c r="F4" s="734"/>
      <c r="G4" s="734"/>
      <c r="H4" s="734"/>
      <c r="I4" s="734"/>
      <c r="J4" s="734"/>
      <c r="K4" s="734"/>
      <c r="L4" s="734"/>
      <c r="M4" s="734"/>
      <c r="N4" s="734"/>
      <c r="O4" s="734"/>
      <c r="P4" s="734"/>
      <c r="Q4" s="734"/>
      <c r="R4" s="734"/>
      <c r="S4" s="734"/>
      <c r="T4" s="734"/>
      <c r="U4" s="734"/>
      <c r="V4" s="734"/>
      <c r="W4" s="734"/>
      <c r="X4" s="734" t="s">
        <v>68</v>
      </c>
      <c r="Y4" s="734"/>
      <c r="Z4" s="734"/>
      <c r="AA4" s="734"/>
      <c r="AB4" s="734"/>
      <c r="AC4" s="734"/>
      <c r="AD4" s="734"/>
      <c r="AE4" s="734"/>
      <c r="AF4" s="734"/>
      <c r="AG4" s="734"/>
      <c r="AH4" s="734"/>
      <c r="AI4" s="734"/>
      <c r="AJ4" s="734"/>
      <c r="AK4" s="734"/>
      <c r="AL4" s="734"/>
      <c r="AM4" s="734"/>
      <c r="AN4" s="734"/>
      <c r="AO4" s="734"/>
      <c r="AP4" s="734"/>
      <c r="AQ4" s="766" t="s">
        <v>146</v>
      </c>
      <c r="AR4" s="766" t="s">
        <v>150</v>
      </c>
      <c r="AS4" s="766" t="s">
        <v>151</v>
      </c>
      <c r="AT4" s="766" t="s">
        <v>152</v>
      </c>
      <c r="AU4" s="766" t="s">
        <v>153</v>
      </c>
      <c r="AV4" s="766" t="s">
        <v>154</v>
      </c>
      <c r="AW4" s="766" t="s">
        <v>155</v>
      </c>
      <c r="AX4" s="766" t="s">
        <v>156</v>
      </c>
      <c r="AY4" s="766" t="s">
        <v>157</v>
      </c>
      <c r="AZ4" s="771" t="s">
        <v>234</v>
      </c>
      <c r="BA4" s="766" t="s">
        <v>159</v>
      </c>
      <c r="BB4" s="766" t="s">
        <v>160</v>
      </c>
      <c r="BC4" s="766" t="s">
        <v>161</v>
      </c>
      <c r="BD4" s="766" t="s">
        <v>164</v>
      </c>
      <c r="BE4" s="766" t="s">
        <v>166</v>
      </c>
      <c r="BF4" s="766" t="s">
        <v>167</v>
      </c>
      <c r="BG4" s="766" t="s">
        <v>168</v>
      </c>
      <c r="BH4" s="766" t="s">
        <v>169</v>
      </c>
      <c r="BI4" s="766" t="s">
        <v>170</v>
      </c>
      <c r="BJ4" s="766" t="s">
        <v>157</v>
      </c>
      <c r="BK4" s="771" t="s">
        <v>233</v>
      </c>
      <c r="BL4" s="759" t="s">
        <v>171</v>
      </c>
      <c r="BM4" s="768" t="s">
        <v>173</v>
      </c>
      <c r="BN4" s="769"/>
      <c r="BO4" s="769"/>
      <c r="BP4" s="769"/>
      <c r="BQ4" s="769"/>
      <c r="BR4" s="769"/>
      <c r="BS4" s="769"/>
      <c r="BT4" s="769"/>
      <c r="BU4" s="769"/>
      <c r="BV4" s="769"/>
      <c r="BW4" s="769"/>
      <c r="BX4" s="769"/>
      <c r="BY4" s="769"/>
      <c r="BZ4" s="769"/>
      <c r="CA4" s="769"/>
      <c r="CB4" s="769"/>
      <c r="CC4" s="769"/>
      <c r="CD4" s="769"/>
      <c r="CE4" s="769"/>
      <c r="CF4" s="769"/>
      <c r="CG4" s="770"/>
      <c r="CH4" s="768" t="s">
        <v>536</v>
      </c>
      <c r="CI4" s="769"/>
      <c r="CJ4" s="769"/>
      <c r="CK4" s="769"/>
      <c r="CL4" s="769"/>
      <c r="CM4" s="769"/>
      <c r="CN4" s="769"/>
      <c r="CO4" s="769"/>
      <c r="CP4" s="769"/>
      <c r="CQ4" s="769"/>
      <c r="CR4" s="769"/>
      <c r="CS4" s="769"/>
      <c r="CT4" s="769"/>
      <c r="CU4" s="769"/>
      <c r="CV4" s="769"/>
      <c r="CW4" s="769"/>
      <c r="CX4" s="769"/>
      <c r="CY4" s="769"/>
      <c r="CZ4" s="769"/>
      <c r="DA4" s="769"/>
      <c r="DB4" s="770"/>
      <c r="DC4" s="768" t="s">
        <v>174</v>
      </c>
      <c r="DD4" s="769"/>
      <c r="DE4" s="769"/>
      <c r="DF4" s="769"/>
      <c r="DG4" s="769"/>
      <c r="DH4" s="769"/>
      <c r="DI4" s="769"/>
      <c r="DJ4" s="769"/>
      <c r="DK4" s="769"/>
      <c r="DL4" s="769"/>
      <c r="DM4" s="769"/>
      <c r="DN4" s="769"/>
      <c r="DO4" s="769"/>
      <c r="DP4" s="769"/>
      <c r="DQ4" s="769"/>
      <c r="DR4" s="769"/>
      <c r="DS4" s="769"/>
      <c r="DT4" s="769"/>
      <c r="DU4" s="769"/>
      <c r="DV4" s="769"/>
      <c r="DW4" s="770"/>
      <c r="DX4" s="759" t="s">
        <v>175</v>
      </c>
      <c r="DY4" s="759" t="s">
        <v>176</v>
      </c>
      <c r="DZ4" s="759" t="s">
        <v>177</v>
      </c>
      <c r="EA4" s="759" t="s">
        <v>178</v>
      </c>
      <c r="EB4" s="759" t="s">
        <v>179</v>
      </c>
      <c r="EC4" s="759" t="s">
        <v>157</v>
      </c>
      <c r="ED4" s="759" t="s">
        <v>234</v>
      </c>
      <c r="EE4" s="759" t="s">
        <v>159</v>
      </c>
      <c r="EF4" s="759" t="s">
        <v>160</v>
      </c>
      <c r="EG4" s="759" t="s">
        <v>161</v>
      </c>
      <c r="EH4" s="759" t="s">
        <v>164</v>
      </c>
      <c r="EI4" s="759" t="s">
        <v>166</v>
      </c>
      <c r="EJ4" s="759" t="s">
        <v>167</v>
      </c>
      <c r="EK4" s="759" t="s">
        <v>168</v>
      </c>
      <c r="EL4" s="759" t="s">
        <v>169</v>
      </c>
      <c r="EM4" s="759" t="s">
        <v>190</v>
      </c>
      <c r="EN4" s="759" t="s">
        <v>170</v>
      </c>
      <c r="EO4" s="759" t="s">
        <v>157</v>
      </c>
      <c r="EP4" s="775" t="s">
        <v>302</v>
      </c>
      <c r="EQ4" s="759" t="s">
        <v>188</v>
      </c>
      <c r="ER4" s="759" t="s">
        <v>189</v>
      </c>
      <c r="ES4" s="759" t="s">
        <v>181</v>
      </c>
      <c r="ET4" s="759" t="s">
        <v>182</v>
      </c>
      <c r="EU4" s="781"/>
      <c r="EV4" s="765" t="s">
        <v>292</v>
      </c>
      <c r="EW4" s="765" t="s">
        <v>39</v>
      </c>
      <c r="EX4" s="765" t="s">
        <v>293</v>
      </c>
      <c r="EY4" s="765" t="s">
        <v>294</v>
      </c>
      <c r="EZ4" s="765" t="s">
        <v>56</v>
      </c>
      <c r="FA4" s="765" t="s">
        <v>295</v>
      </c>
      <c r="FB4" s="776" t="s">
        <v>296</v>
      </c>
      <c r="FC4" s="776" t="s">
        <v>297</v>
      </c>
      <c r="FD4" s="765" t="s">
        <v>298</v>
      </c>
      <c r="FE4" s="765" t="s">
        <v>299</v>
      </c>
      <c r="FF4" s="765" t="s">
        <v>65</v>
      </c>
      <c r="FG4" s="765" t="s">
        <v>300</v>
      </c>
      <c r="FH4" s="765" t="s">
        <v>301</v>
      </c>
      <c r="FI4" s="765" t="s">
        <v>59</v>
      </c>
      <c r="FJ4" s="757"/>
      <c r="FK4" s="762"/>
      <c r="FL4" s="764" t="s">
        <v>547</v>
      </c>
      <c r="FM4" s="764" t="s">
        <v>548</v>
      </c>
      <c r="FN4" s="758" t="s">
        <v>551</v>
      </c>
      <c r="FO4" s="758" t="s">
        <v>552</v>
      </c>
      <c r="FP4" s="758" t="s">
        <v>553</v>
      </c>
      <c r="FQ4" s="758" t="s">
        <v>554</v>
      </c>
      <c r="FR4" s="756" t="s">
        <v>551</v>
      </c>
      <c r="FS4" s="756"/>
      <c r="FT4" s="756" t="s">
        <v>552</v>
      </c>
      <c r="FU4" s="756"/>
      <c r="FV4" s="756" t="s">
        <v>553</v>
      </c>
      <c r="FW4" s="756"/>
      <c r="FX4" s="756"/>
    </row>
    <row r="5" spans="1:180" s="28" customFormat="1" ht="24">
      <c r="A5" s="29" t="s">
        <v>0</v>
      </c>
      <c r="B5" s="767"/>
      <c r="C5" s="33" t="s">
        <v>41</v>
      </c>
      <c r="D5" s="33" t="s">
        <v>42</v>
      </c>
      <c r="E5" s="33" t="s">
        <v>43</v>
      </c>
      <c r="F5" s="33" t="s">
        <v>44</v>
      </c>
      <c r="G5" s="32" t="s">
        <v>45</v>
      </c>
      <c r="H5" s="33" t="s">
        <v>46</v>
      </c>
      <c r="I5" s="33" t="s">
        <v>47</v>
      </c>
      <c r="J5" s="33" t="s">
        <v>48</v>
      </c>
      <c r="K5" s="33" t="s">
        <v>49</v>
      </c>
      <c r="L5" s="33" t="s">
        <v>50</v>
      </c>
      <c r="M5" s="33" t="s">
        <v>51</v>
      </c>
      <c r="N5" s="33" t="s">
        <v>52</v>
      </c>
      <c r="O5" s="33" t="s">
        <v>53</v>
      </c>
      <c r="P5" s="33" t="s">
        <v>54</v>
      </c>
      <c r="Q5" s="33" t="s">
        <v>55</v>
      </c>
      <c r="R5" s="33" t="s">
        <v>56</v>
      </c>
      <c r="S5" s="33" t="s">
        <v>57</v>
      </c>
      <c r="T5" s="33" t="s">
        <v>58</v>
      </c>
      <c r="U5" s="33" t="s">
        <v>59</v>
      </c>
      <c r="V5" s="33" t="s">
        <v>60</v>
      </c>
      <c r="W5" s="33" t="s">
        <v>61</v>
      </c>
      <c r="X5" s="33" t="s">
        <v>63</v>
      </c>
      <c r="Y5" s="33" t="s">
        <v>43</v>
      </c>
      <c r="Z5" s="33" t="s">
        <v>44</v>
      </c>
      <c r="AA5" s="33" t="s">
        <v>64</v>
      </c>
      <c r="AB5" s="33" t="s">
        <v>65</v>
      </c>
      <c r="AC5" s="33" t="s">
        <v>48</v>
      </c>
      <c r="AD5" s="33" t="s">
        <v>49</v>
      </c>
      <c r="AE5" s="33" t="s">
        <v>66</v>
      </c>
      <c r="AF5" s="33" t="s">
        <v>51</v>
      </c>
      <c r="AG5" s="33" t="s">
        <v>67</v>
      </c>
      <c r="AH5" s="33" t="s">
        <v>53</v>
      </c>
      <c r="AI5" s="33" t="s">
        <v>54</v>
      </c>
      <c r="AJ5" s="33" t="s">
        <v>55</v>
      </c>
      <c r="AK5" s="33" t="s">
        <v>56</v>
      </c>
      <c r="AL5" s="33" t="s">
        <v>57</v>
      </c>
      <c r="AM5" s="33" t="s">
        <v>58</v>
      </c>
      <c r="AN5" s="33" t="s">
        <v>59</v>
      </c>
      <c r="AO5" s="33" t="s">
        <v>60</v>
      </c>
      <c r="AP5" s="33" t="s">
        <v>61</v>
      </c>
      <c r="AQ5" s="767"/>
      <c r="AR5" s="767"/>
      <c r="AS5" s="767"/>
      <c r="AT5" s="767"/>
      <c r="AU5" s="767"/>
      <c r="AV5" s="767"/>
      <c r="AW5" s="767"/>
      <c r="AX5" s="767"/>
      <c r="AY5" s="767"/>
      <c r="AZ5" s="721"/>
      <c r="BA5" s="767"/>
      <c r="BB5" s="767"/>
      <c r="BC5" s="767"/>
      <c r="BD5" s="767"/>
      <c r="BE5" s="767"/>
      <c r="BF5" s="767"/>
      <c r="BG5" s="767"/>
      <c r="BH5" s="767"/>
      <c r="BI5" s="767"/>
      <c r="BJ5" s="767"/>
      <c r="BK5" s="721"/>
      <c r="BL5" s="760"/>
      <c r="BM5" s="86" t="s">
        <v>69</v>
      </c>
      <c r="BN5" s="86" t="s">
        <v>70</v>
      </c>
      <c r="BO5" s="86" t="s">
        <v>71</v>
      </c>
      <c r="BP5" s="86" t="s">
        <v>72</v>
      </c>
      <c r="BQ5" s="86" t="s">
        <v>73</v>
      </c>
      <c r="BR5" s="86" t="s">
        <v>74</v>
      </c>
      <c r="BS5" s="86" t="s">
        <v>75</v>
      </c>
      <c r="BT5" s="86" t="s">
        <v>76</v>
      </c>
      <c r="BU5" s="86" t="s">
        <v>77</v>
      </c>
      <c r="BV5" s="86" t="s">
        <v>78</v>
      </c>
      <c r="BW5" s="86" t="s">
        <v>79</v>
      </c>
      <c r="BX5" s="86" t="s">
        <v>80</v>
      </c>
      <c r="BY5" s="86" t="s">
        <v>81</v>
      </c>
      <c r="BZ5" s="86" t="s">
        <v>52</v>
      </c>
      <c r="CA5" s="86" t="s">
        <v>82</v>
      </c>
      <c r="CB5" s="86" t="s">
        <v>48</v>
      </c>
      <c r="CC5" s="86" t="s">
        <v>83</v>
      </c>
      <c r="CD5" s="86" t="s">
        <v>84</v>
      </c>
      <c r="CE5" s="86" t="s">
        <v>85</v>
      </c>
      <c r="CF5" s="86" t="s">
        <v>39</v>
      </c>
      <c r="CG5" s="86" t="s">
        <v>86</v>
      </c>
      <c r="CH5" s="86" t="s">
        <v>69</v>
      </c>
      <c r="CI5" s="86" t="s">
        <v>70</v>
      </c>
      <c r="CJ5" s="86" t="s">
        <v>71</v>
      </c>
      <c r="CK5" s="86" t="s">
        <v>72</v>
      </c>
      <c r="CL5" s="86" t="s">
        <v>73</v>
      </c>
      <c r="CM5" s="86" t="s">
        <v>74</v>
      </c>
      <c r="CN5" s="86" t="s">
        <v>75</v>
      </c>
      <c r="CO5" s="86" t="s">
        <v>76</v>
      </c>
      <c r="CP5" s="86" t="s">
        <v>77</v>
      </c>
      <c r="CQ5" s="86" t="s">
        <v>78</v>
      </c>
      <c r="CR5" s="86" t="s">
        <v>79</v>
      </c>
      <c r="CS5" s="86" t="s">
        <v>80</v>
      </c>
      <c r="CT5" s="86" t="s">
        <v>81</v>
      </c>
      <c r="CU5" s="86" t="s">
        <v>52</v>
      </c>
      <c r="CV5" s="86" t="s">
        <v>82</v>
      </c>
      <c r="CW5" s="86" t="s">
        <v>48</v>
      </c>
      <c r="CX5" s="86" t="s">
        <v>83</v>
      </c>
      <c r="CY5" s="86" t="s">
        <v>84</v>
      </c>
      <c r="CZ5" s="86" t="s">
        <v>85</v>
      </c>
      <c r="DA5" s="86" t="s">
        <v>39</v>
      </c>
      <c r="DB5" s="86" t="s">
        <v>86</v>
      </c>
      <c r="DC5" s="86" t="s">
        <v>69</v>
      </c>
      <c r="DD5" s="86" t="s">
        <v>70</v>
      </c>
      <c r="DE5" s="86" t="s">
        <v>71</v>
      </c>
      <c r="DF5" s="86" t="s">
        <v>72</v>
      </c>
      <c r="DG5" s="86" t="s">
        <v>73</v>
      </c>
      <c r="DH5" s="86" t="s">
        <v>74</v>
      </c>
      <c r="DI5" s="86" t="s">
        <v>75</v>
      </c>
      <c r="DJ5" s="86" t="s">
        <v>76</v>
      </c>
      <c r="DK5" s="86" t="s">
        <v>77</v>
      </c>
      <c r="DL5" s="86" t="s">
        <v>78</v>
      </c>
      <c r="DM5" s="86" t="s">
        <v>79</v>
      </c>
      <c r="DN5" s="86" t="s">
        <v>80</v>
      </c>
      <c r="DO5" s="86" t="s">
        <v>81</v>
      </c>
      <c r="DP5" s="86" t="s">
        <v>52</v>
      </c>
      <c r="DQ5" s="86" t="s">
        <v>82</v>
      </c>
      <c r="DR5" s="86" t="s">
        <v>48</v>
      </c>
      <c r="DS5" s="86" t="s">
        <v>83</v>
      </c>
      <c r="DT5" s="86" t="s">
        <v>84</v>
      </c>
      <c r="DU5" s="86" t="s">
        <v>85</v>
      </c>
      <c r="DV5" s="86" t="s">
        <v>39</v>
      </c>
      <c r="DW5" s="86" t="s">
        <v>86</v>
      </c>
      <c r="DX5" s="760"/>
      <c r="DY5" s="760"/>
      <c r="DZ5" s="760"/>
      <c r="EA5" s="760"/>
      <c r="EB5" s="760"/>
      <c r="EC5" s="760"/>
      <c r="ED5" s="760"/>
      <c r="EE5" s="760"/>
      <c r="EF5" s="760"/>
      <c r="EG5" s="760"/>
      <c r="EH5" s="760"/>
      <c r="EI5" s="760"/>
      <c r="EJ5" s="760"/>
      <c r="EK5" s="760"/>
      <c r="EL5" s="760"/>
      <c r="EM5" s="760"/>
      <c r="EN5" s="760"/>
      <c r="EO5" s="760"/>
      <c r="EP5" s="723"/>
      <c r="EQ5" s="760"/>
      <c r="ER5" s="760"/>
      <c r="ES5" s="760"/>
      <c r="ET5" s="760"/>
      <c r="EU5" s="782"/>
      <c r="EV5" s="765"/>
      <c r="EW5" s="765"/>
      <c r="EX5" s="765"/>
      <c r="EY5" s="765"/>
      <c r="EZ5" s="765"/>
      <c r="FA5" s="765"/>
      <c r="FB5" s="765"/>
      <c r="FC5" s="765"/>
      <c r="FD5" s="765"/>
      <c r="FE5" s="765"/>
      <c r="FF5" s="765"/>
      <c r="FG5" s="765"/>
      <c r="FH5" s="765"/>
      <c r="FI5" s="765"/>
      <c r="FJ5" s="757"/>
      <c r="FK5" s="763"/>
      <c r="FL5" s="764"/>
      <c r="FM5" s="764"/>
      <c r="FN5" s="758"/>
      <c r="FO5" s="758"/>
      <c r="FP5" s="758"/>
      <c r="FQ5" s="758"/>
      <c r="FR5" s="91" t="s">
        <v>556</v>
      </c>
      <c r="FS5" s="91" t="s">
        <v>557</v>
      </c>
      <c r="FT5" s="91" t="s">
        <v>556</v>
      </c>
      <c r="FU5" s="91" t="s">
        <v>557</v>
      </c>
      <c r="FV5" s="91" t="s">
        <v>556</v>
      </c>
      <c r="FW5" s="91" t="s">
        <v>557</v>
      </c>
      <c r="FX5" s="91" t="s">
        <v>554</v>
      </c>
    </row>
    <row r="6" spans="1:180" ht="26.15" customHeight="1">
      <c r="A6" s="319">
        <f>調査票!E13</f>
        <v>0</v>
      </c>
      <c r="B6" s="319">
        <f>調査票!E109</f>
        <v>0</v>
      </c>
      <c r="C6" s="319">
        <f>調査票!D115</f>
        <v>0</v>
      </c>
      <c r="D6" s="319">
        <f>調査票!D116</f>
        <v>0</v>
      </c>
      <c r="E6" s="319">
        <f>調査票!D117</f>
        <v>0</v>
      </c>
      <c r="F6" s="319">
        <f>調査票!D118</f>
        <v>0</v>
      </c>
      <c r="G6" s="319">
        <f>調査票!D119</f>
        <v>0</v>
      </c>
      <c r="H6" s="319">
        <f>調査票!D120</f>
        <v>0</v>
      </c>
      <c r="I6" s="319">
        <f>調査票!D121</f>
        <v>0</v>
      </c>
      <c r="J6" s="319">
        <f>調査票!D122</f>
        <v>0</v>
      </c>
      <c r="K6" s="319">
        <f>調査票!D123</f>
        <v>0</v>
      </c>
      <c r="L6" s="319">
        <f>調査票!D124</f>
        <v>0</v>
      </c>
      <c r="M6" s="319">
        <f>調査票!D125</f>
        <v>0</v>
      </c>
      <c r="N6" s="319">
        <f>調査票!H115</f>
        <v>0</v>
      </c>
      <c r="O6" s="319">
        <f>調査票!H116</f>
        <v>0</v>
      </c>
      <c r="P6" s="319">
        <f>調査票!H117</f>
        <v>0</v>
      </c>
      <c r="Q6" s="319">
        <f>調査票!H118</f>
        <v>0</v>
      </c>
      <c r="R6" s="319">
        <f>調査票!H119</f>
        <v>0</v>
      </c>
      <c r="S6" s="319">
        <f>調査票!H120</f>
        <v>0</v>
      </c>
      <c r="T6" s="319">
        <f>調査票!H121</f>
        <v>0</v>
      </c>
      <c r="U6" s="319">
        <f>調査票!H122</f>
        <v>0</v>
      </c>
      <c r="V6" s="319">
        <f>調査票!H123</f>
        <v>0</v>
      </c>
      <c r="W6" s="319">
        <f>調査票!H124</f>
        <v>0</v>
      </c>
      <c r="X6" s="319">
        <f>調査票!L115</f>
        <v>0</v>
      </c>
      <c r="Y6" s="319">
        <f>調査票!L116</f>
        <v>0</v>
      </c>
      <c r="Z6" s="319">
        <f>調査票!L117</f>
        <v>0</v>
      </c>
      <c r="AA6" s="319">
        <f>調査票!L118</f>
        <v>0</v>
      </c>
      <c r="AB6" s="319">
        <f>調査票!L119</f>
        <v>0</v>
      </c>
      <c r="AC6" s="319">
        <f>調査票!L120</f>
        <v>0</v>
      </c>
      <c r="AD6" s="319">
        <f>調査票!L121</f>
        <v>0</v>
      </c>
      <c r="AE6" s="319">
        <f>調査票!L122</f>
        <v>0</v>
      </c>
      <c r="AF6" s="319">
        <f>調査票!L123</f>
        <v>0</v>
      </c>
      <c r="AG6" s="319">
        <f>調査票!P115</f>
        <v>0</v>
      </c>
      <c r="AH6" s="319">
        <f>調査票!P116</f>
        <v>0</v>
      </c>
      <c r="AI6" s="319">
        <f>調査票!P117</f>
        <v>0</v>
      </c>
      <c r="AJ6" s="319">
        <f>調査票!P118</f>
        <v>0</v>
      </c>
      <c r="AK6" s="319">
        <f>調査票!P119</f>
        <v>0</v>
      </c>
      <c r="AL6" s="319">
        <f>調査票!P120</f>
        <v>0</v>
      </c>
      <c r="AM6" s="319">
        <f>調査票!P121</f>
        <v>0</v>
      </c>
      <c r="AN6" s="319">
        <f>調査票!P122</f>
        <v>0</v>
      </c>
      <c r="AO6" s="319">
        <f>調査票!P123</f>
        <v>0</v>
      </c>
      <c r="AP6" s="319">
        <f>調査票!P124</f>
        <v>0</v>
      </c>
      <c r="AQ6" s="319">
        <f>調査票!D127</f>
        <v>0</v>
      </c>
      <c r="AR6" s="324">
        <f>調査票!A130</f>
        <v>0</v>
      </c>
      <c r="AS6" s="324">
        <f>調査票!A131</f>
        <v>0</v>
      </c>
      <c r="AT6" s="324">
        <f>調査票!A132</f>
        <v>0</v>
      </c>
      <c r="AU6" s="324">
        <f>調査票!A133</f>
        <v>0</v>
      </c>
      <c r="AV6" s="324">
        <f>調査票!A134</f>
        <v>0</v>
      </c>
      <c r="AW6" s="324">
        <f>調査票!A135</f>
        <v>0</v>
      </c>
      <c r="AX6" s="324">
        <f>調査票!A136</f>
        <v>0</v>
      </c>
      <c r="AY6" s="324">
        <f>調査票!A137</f>
        <v>0</v>
      </c>
      <c r="AZ6" s="319">
        <f>調査票!D137</f>
        <v>0</v>
      </c>
      <c r="BA6" s="324">
        <f>調査票!A141</f>
        <v>0</v>
      </c>
      <c r="BB6" s="324">
        <f>調査票!A142</f>
        <v>0</v>
      </c>
      <c r="BC6" s="324">
        <f>調査票!A143</f>
        <v>0</v>
      </c>
      <c r="BD6" s="319">
        <f>調査票!A147</f>
        <v>0</v>
      </c>
      <c r="BE6" s="324">
        <f>調査票!A150</f>
        <v>0</v>
      </c>
      <c r="BF6" s="324">
        <f>調査票!A151</f>
        <v>0</v>
      </c>
      <c r="BG6" s="324">
        <f>調査票!A152</f>
        <v>0</v>
      </c>
      <c r="BH6" s="324">
        <f>調査票!A153</f>
        <v>0</v>
      </c>
      <c r="BI6" s="324">
        <f>調査票!A154</f>
        <v>0</v>
      </c>
      <c r="BJ6" s="324">
        <f>調査票!A155</f>
        <v>0</v>
      </c>
      <c r="BK6" s="319">
        <f>調査票!D155</f>
        <v>0</v>
      </c>
      <c r="BL6" s="319">
        <f>調査票!E159</f>
        <v>0</v>
      </c>
      <c r="BM6" s="319">
        <f>調査票!F166</f>
        <v>0</v>
      </c>
      <c r="BN6" s="319">
        <f>調査票!F167</f>
        <v>0</v>
      </c>
      <c r="BO6" s="319">
        <f>調査票!F168</f>
        <v>0</v>
      </c>
      <c r="BP6" s="319">
        <f>調査票!F169</f>
        <v>0</v>
      </c>
      <c r="BQ6" s="319">
        <f>調査票!F170</f>
        <v>0</v>
      </c>
      <c r="BR6" s="319">
        <f>調査票!F171</f>
        <v>0</v>
      </c>
      <c r="BS6" s="319">
        <f>調査票!F172</f>
        <v>0</v>
      </c>
      <c r="BT6" s="319">
        <f>調査票!F173</f>
        <v>0</v>
      </c>
      <c r="BU6" s="319">
        <f>調査票!F174</f>
        <v>0</v>
      </c>
      <c r="BV6" s="319">
        <f>調査票!F175</f>
        <v>0</v>
      </c>
      <c r="BW6" s="319">
        <f>調査票!F176</f>
        <v>0</v>
      </c>
      <c r="BX6" s="319">
        <f>調査票!N166</f>
        <v>0</v>
      </c>
      <c r="BY6" s="319">
        <f>調査票!N167</f>
        <v>0</v>
      </c>
      <c r="BZ6" s="319">
        <f>調査票!N168</f>
        <v>0</v>
      </c>
      <c r="CA6" s="319">
        <f>調査票!N169</f>
        <v>0</v>
      </c>
      <c r="CB6" s="319">
        <f>調査票!N170</f>
        <v>0</v>
      </c>
      <c r="CC6" s="319">
        <f>調査票!N171</f>
        <v>0</v>
      </c>
      <c r="CD6" s="319">
        <f>調査票!N172</f>
        <v>0</v>
      </c>
      <c r="CE6" s="319">
        <f>調査票!N173</f>
        <v>0</v>
      </c>
      <c r="CF6" s="319">
        <f>調査票!N174</f>
        <v>0</v>
      </c>
      <c r="CG6" s="319">
        <f>調査票!N175</f>
        <v>0</v>
      </c>
      <c r="CH6" s="338">
        <f>調査票!G166</f>
        <v>0</v>
      </c>
      <c r="CI6" s="338">
        <f>調査票!G167</f>
        <v>0</v>
      </c>
      <c r="CJ6" s="338">
        <f>調査票!G168</f>
        <v>0</v>
      </c>
      <c r="CK6" s="338">
        <f>調査票!G169</f>
        <v>0</v>
      </c>
      <c r="CL6" s="338">
        <f>調査票!G170</f>
        <v>0</v>
      </c>
      <c r="CM6" s="338">
        <f>調査票!G171</f>
        <v>0</v>
      </c>
      <c r="CN6" s="338">
        <f>調査票!G172</f>
        <v>0</v>
      </c>
      <c r="CO6" s="338">
        <f>調査票!G173</f>
        <v>0</v>
      </c>
      <c r="CP6" s="338">
        <f>調査票!G174</f>
        <v>0</v>
      </c>
      <c r="CQ6" s="338">
        <f>調査票!G175</f>
        <v>0</v>
      </c>
      <c r="CR6" s="338">
        <f>調査票!G176</f>
        <v>0</v>
      </c>
      <c r="CS6" s="338">
        <f>調査票!O166</f>
        <v>0</v>
      </c>
      <c r="CT6" s="338">
        <f>調査票!O167</f>
        <v>0</v>
      </c>
      <c r="CU6" s="338">
        <f>調査票!O168</f>
        <v>0</v>
      </c>
      <c r="CV6" s="338">
        <f>調査票!O169</f>
        <v>0</v>
      </c>
      <c r="CW6" s="338">
        <f>調査票!O170</f>
        <v>0</v>
      </c>
      <c r="CX6" s="338">
        <f>調査票!O171</f>
        <v>0</v>
      </c>
      <c r="CY6" s="338">
        <f>調査票!O172</f>
        <v>0</v>
      </c>
      <c r="CZ6" s="338">
        <f>調査票!O173</f>
        <v>0</v>
      </c>
      <c r="DA6" s="338">
        <f>調査票!O174</f>
        <v>0</v>
      </c>
      <c r="DB6" s="338">
        <f>調査票!O175</f>
        <v>0</v>
      </c>
      <c r="DC6" s="338">
        <f>調査票!H166</f>
        <v>0</v>
      </c>
      <c r="DD6" s="338">
        <f>調査票!H167</f>
        <v>0</v>
      </c>
      <c r="DE6" s="338">
        <f>調査票!H168</f>
        <v>0</v>
      </c>
      <c r="DF6" s="338">
        <f>調査票!H169</f>
        <v>0</v>
      </c>
      <c r="DG6" s="338">
        <f>調査票!H170</f>
        <v>0</v>
      </c>
      <c r="DH6" s="338">
        <f>調査票!H171</f>
        <v>0</v>
      </c>
      <c r="DI6" s="338">
        <f>調査票!H172</f>
        <v>0</v>
      </c>
      <c r="DJ6" s="324">
        <f>調査票!H173</f>
        <v>0</v>
      </c>
      <c r="DK6" s="324">
        <f>調査票!H174</f>
        <v>0</v>
      </c>
      <c r="DL6" s="324">
        <f>調査票!H175</f>
        <v>0</v>
      </c>
      <c r="DM6" s="324">
        <f>調査票!H176</f>
        <v>0</v>
      </c>
      <c r="DN6" s="324">
        <f>調査票!P166</f>
        <v>0</v>
      </c>
      <c r="DO6" s="324">
        <f>調査票!P167</f>
        <v>0</v>
      </c>
      <c r="DP6" s="324">
        <f>調査票!P168</f>
        <v>0</v>
      </c>
      <c r="DQ6" s="324">
        <f>調査票!P169</f>
        <v>0</v>
      </c>
      <c r="DR6" s="324">
        <f>調査票!P170</f>
        <v>0</v>
      </c>
      <c r="DS6" s="324">
        <f>調査票!P171</f>
        <v>0</v>
      </c>
      <c r="DT6" s="324">
        <f>調査票!P172</f>
        <v>0</v>
      </c>
      <c r="DU6" s="324">
        <f>調査票!P173</f>
        <v>0</v>
      </c>
      <c r="DV6" s="324">
        <f>調査票!P174</f>
        <v>0</v>
      </c>
      <c r="DW6" s="324">
        <f>調査票!P175</f>
        <v>0</v>
      </c>
      <c r="DX6" s="324">
        <f>調査票!A182</f>
        <v>0</v>
      </c>
      <c r="DY6" s="324">
        <f>調査票!A183</f>
        <v>0</v>
      </c>
      <c r="DZ6" s="324">
        <f>調査票!A184</f>
        <v>0</v>
      </c>
      <c r="EA6" s="324">
        <f>調査票!A185</f>
        <v>0</v>
      </c>
      <c r="EB6" s="324">
        <f>調査票!A186</f>
        <v>0</v>
      </c>
      <c r="EC6" s="324">
        <f>調査票!A187</f>
        <v>0</v>
      </c>
      <c r="ED6" s="319">
        <f>調査票!D187</f>
        <v>0</v>
      </c>
      <c r="EE6" s="324">
        <f>調査票!A191</f>
        <v>0</v>
      </c>
      <c r="EF6" s="324">
        <f>調査票!A192</f>
        <v>0</v>
      </c>
      <c r="EG6" s="324">
        <f>調査票!A193</f>
        <v>0</v>
      </c>
      <c r="EH6" s="339">
        <f>調査票!A197</f>
        <v>0</v>
      </c>
      <c r="EI6" s="324">
        <f>調査票!A200</f>
        <v>0</v>
      </c>
      <c r="EJ6" s="324">
        <f>調査票!A201</f>
        <v>0</v>
      </c>
      <c r="EK6" s="324">
        <f>調査票!A202</f>
        <v>0</v>
      </c>
      <c r="EL6" s="324">
        <f>調査票!A203</f>
        <v>0</v>
      </c>
      <c r="EM6" s="324">
        <f>調査票!A204</f>
        <v>0</v>
      </c>
      <c r="EN6" s="324">
        <f>調査票!A205</f>
        <v>0</v>
      </c>
      <c r="EO6" s="324">
        <f>調査票!A206</f>
        <v>0</v>
      </c>
      <c r="EP6" s="319">
        <f>調査票!D206</f>
        <v>0</v>
      </c>
      <c r="EQ6" s="324">
        <f>調査票!A209</f>
        <v>0</v>
      </c>
      <c r="ER6" s="324">
        <f>調査票!A210</f>
        <v>0</v>
      </c>
      <c r="ES6" s="324">
        <f>調査票!A213</f>
        <v>0</v>
      </c>
      <c r="ET6" s="324">
        <f>調査票!A214</f>
        <v>0</v>
      </c>
      <c r="EU6" s="324">
        <f>調査票!E218</f>
        <v>0</v>
      </c>
      <c r="EV6" s="324">
        <f>調査票!D222</f>
        <v>0</v>
      </c>
      <c r="EW6" s="324">
        <f>調査票!D223</f>
        <v>0</v>
      </c>
      <c r="EX6" s="324">
        <f>調査票!D224</f>
        <v>0</v>
      </c>
      <c r="EY6" s="324">
        <f>調査票!D225</f>
        <v>0</v>
      </c>
      <c r="EZ6" s="324">
        <f>調査票!D226</f>
        <v>0</v>
      </c>
      <c r="FA6" s="324">
        <f>調査票!H222</f>
        <v>0</v>
      </c>
      <c r="FB6" s="324">
        <f>調査票!H223</f>
        <v>0</v>
      </c>
      <c r="FC6" s="324">
        <f>調査票!H224</f>
        <v>0</v>
      </c>
      <c r="FD6" s="324">
        <f>調査票!H225</f>
        <v>0</v>
      </c>
      <c r="FE6" s="324">
        <f>調査票!H226</f>
        <v>0</v>
      </c>
      <c r="FF6" s="324">
        <f>調査票!L222</f>
        <v>0</v>
      </c>
      <c r="FG6" s="324">
        <f>調査票!L223</f>
        <v>0</v>
      </c>
      <c r="FH6" s="324">
        <f>調査票!L224</f>
        <v>0</v>
      </c>
      <c r="FI6" s="324">
        <f>調査票!L225</f>
        <v>0</v>
      </c>
      <c r="FJ6" s="324">
        <f>調査票!E229</f>
        <v>0</v>
      </c>
      <c r="FK6" s="340">
        <f>調査票!E232</f>
        <v>0</v>
      </c>
      <c r="FL6" s="340">
        <f>調査票!A236</f>
        <v>0</v>
      </c>
      <c r="FM6" s="340">
        <f>調査票!A237</f>
        <v>0</v>
      </c>
      <c r="FN6" s="340">
        <f>調査票!A240</f>
        <v>0</v>
      </c>
      <c r="FO6" s="340">
        <f>調査票!A241</f>
        <v>0</v>
      </c>
      <c r="FP6" s="340">
        <f>調査票!A242</f>
        <v>0</v>
      </c>
      <c r="FQ6" s="340">
        <f>調査票!D242</f>
        <v>0</v>
      </c>
      <c r="FR6" s="340">
        <f>調査票!J247</f>
        <v>0</v>
      </c>
      <c r="FS6" s="340">
        <f>調査票!K247</f>
        <v>0</v>
      </c>
      <c r="FT6" s="340">
        <f>調査票!J248</f>
        <v>0</v>
      </c>
      <c r="FU6" s="340">
        <f>調査票!K248</f>
        <v>0</v>
      </c>
      <c r="FV6" s="340">
        <f>調査票!J249</f>
        <v>0</v>
      </c>
      <c r="FW6" s="340">
        <f>調査票!K249</f>
        <v>0</v>
      </c>
      <c r="FX6" s="340">
        <f>調査票!C249</f>
        <v>0</v>
      </c>
    </row>
    <row r="8" spans="1:180">
      <c r="A8" s="11"/>
      <c r="B8" s="11"/>
    </row>
    <row r="10" spans="1:180" s="28" customFormat="1">
      <c r="A10" s="30"/>
      <c r="B10" s="30"/>
      <c r="C10" s="30"/>
      <c r="D10" s="30"/>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DC10" s="30"/>
      <c r="DD10" s="30"/>
      <c r="DE10" s="30"/>
      <c r="DF10" s="30"/>
      <c r="DG10" s="30"/>
      <c r="DH10" s="30"/>
      <c r="DI10" s="30"/>
      <c r="DJ10" s="30"/>
      <c r="DK10" s="30"/>
    </row>
    <row r="14" spans="1:180" s="27" customFormat="1">
      <c r="A14" s="31"/>
      <c r="B14" s="31"/>
      <c r="C14" s="31"/>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1"/>
      <c r="CI14" s="31"/>
      <c r="CJ14" s="31"/>
      <c r="CK14" s="31"/>
      <c r="CL14" s="31"/>
      <c r="CM14" s="31"/>
      <c r="CN14" s="31"/>
      <c r="CO14" s="31"/>
      <c r="CP14" s="31"/>
      <c r="DC14" s="31"/>
      <c r="DD14" s="31"/>
      <c r="DE14" s="31"/>
      <c r="DF14" s="31"/>
      <c r="DG14" s="31"/>
      <c r="DH14" s="31"/>
      <c r="DI14" s="31"/>
      <c r="DJ14" s="31"/>
      <c r="DK14" s="31"/>
    </row>
  </sheetData>
  <mergeCells count="96">
    <mergeCell ref="EU2:FI2"/>
    <mergeCell ref="EU3:EU5"/>
    <mergeCell ref="EV3:FI3"/>
    <mergeCell ref="BL2:ET2"/>
    <mergeCell ref="EQ3:ER3"/>
    <mergeCell ref="ES3:ET3"/>
    <mergeCell ref="EQ4:EQ5"/>
    <mergeCell ref="ER4:ER5"/>
    <mergeCell ref="ES4:ES5"/>
    <mergeCell ref="ET4:ET5"/>
    <mergeCell ref="EE3:EG3"/>
    <mergeCell ref="EI3:EP3"/>
    <mergeCell ref="BM3:DW3"/>
    <mergeCell ref="DX3:EC3"/>
    <mergeCell ref="DX4:DX5"/>
    <mergeCell ref="FF4:FF5"/>
    <mergeCell ref="FG4:FG5"/>
    <mergeCell ref="FH4:FH5"/>
    <mergeCell ref="FI4:FI5"/>
    <mergeCell ref="EP4:EP5"/>
    <mergeCell ref="FA4:FA5"/>
    <mergeCell ref="FB4:FB5"/>
    <mergeCell ref="FC4:FC5"/>
    <mergeCell ref="FD4:FD5"/>
    <mergeCell ref="FE4:FE5"/>
    <mergeCell ref="AR3:AZ3"/>
    <mergeCell ref="EM4:EM5"/>
    <mergeCell ref="BA3:BC3"/>
    <mergeCell ref="BD4:BD5"/>
    <mergeCell ref="A2:A4"/>
    <mergeCell ref="EE4:EE5"/>
    <mergeCell ref="EF4:EF5"/>
    <mergeCell ref="C4:W4"/>
    <mergeCell ref="X4:AP4"/>
    <mergeCell ref="B2:BK2"/>
    <mergeCell ref="C3:AQ3"/>
    <mergeCell ref="AR4:AR5"/>
    <mergeCell ref="AS4:AS5"/>
    <mergeCell ref="AT4:AT5"/>
    <mergeCell ref="AU4:AU5"/>
    <mergeCell ref="AV4:AV5"/>
    <mergeCell ref="BE3:BK3"/>
    <mergeCell ref="BE4:BE5"/>
    <mergeCell ref="BF4:BF5"/>
    <mergeCell ref="BG4:BG5"/>
    <mergeCell ref="BH4:BH5"/>
    <mergeCell ref="BI4:BI5"/>
    <mergeCell ref="BJ4:BJ5"/>
    <mergeCell ref="BK4:BK5"/>
    <mergeCell ref="B4:B5"/>
    <mergeCell ref="AQ4:AQ5"/>
    <mergeCell ref="BM4:CG4"/>
    <mergeCell ref="DC4:DW4"/>
    <mergeCell ref="BA4:BA5"/>
    <mergeCell ref="BB4:BB5"/>
    <mergeCell ref="BC4:BC5"/>
    <mergeCell ref="AY4:AY5"/>
    <mergeCell ref="AW4:AW5"/>
    <mergeCell ref="AX4:AX5"/>
    <mergeCell ref="AZ4:AZ5"/>
    <mergeCell ref="CH4:DB4"/>
    <mergeCell ref="BL4:BL5"/>
    <mergeCell ref="FK3:FK5"/>
    <mergeCell ref="FL4:FL5"/>
    <mergeCell ref="FM4:FM5"/>
    <mergeCell ref="FL3:FM3"/>
    <mergeCell ref="EI4:EI5"/>
    <mergeCell ref="EJ4:EJ5"/>
    <mergeCell ref="EK4:EK5"/>
    <mergeCell ref="EL4:EL5"/>
    <mergeCell ref="EN4:EN5"/>
    <mergeCell ref="EO4:EO5"/>
    <mergeCell ref="FJ3:FJ5"/>
    <mergeCell ref="EV4:EV5"/>
    <mergeCell ref="EW4:EW5"/>
    <mergeCell ref="EX4:EX5"/>
    <mergeCell ref="EY4:EY5"/>
    <mergeCell ref="EZ4:EZ5"/>
    <mergeCell ref="ED4:ED5"/>
    <mergeCell ref="EG4:EG5"/>
    <mergeCell ref="EH4:EH5"/>
    <mergeCell ref="DY4:DY5"/>
    <mergeCell ref="DZ4:DZ5"/>
    <mergeCell ref="EA4:EA5"/>
    <mergeCell ref="EB4:EB5"/>
    <mergeCell ref="EC4:EC5"/>
    <mergeCell ref="FV4:FX4"/>
    <mergeCell ref="FT4:FU4"/>
    <mergeCell ref="FR4:FS4"/>
    <mergeCell ref="FR3:FX3"/>
    <mergeCell ref="FL2:FX2"/>
    <mergeCell ref="FN4:FN5"/>
    <mergeCell ref="FO4:FO5"/>
    <mergeCell ref="FP4:FP5"/>
    <mergeCell ref="FQ4:FQ5"/>
    <mergeCell ref="FN3:FQ3"/>
  </mergeCells>
  <phoneticPr fontId="1"/>
  <conditionalFormatting sqref="CH6:DI6">
    <cfRule type="cellIs" dxfId="0" priority="1" operator="equal">
      <formula>0</formula>
    </cfRule>
  </conditionalFormatting>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調査票</vt:lpstr>
      <vt:lpstr>常勤換算計算表</vt:lpstr>
      <vt:lpstr>カテゴリー</vt:lpstr>
      <vt:lpstr>自動計算シート※入力しないでください！</vt:lpstr>
      <vt:lpstr>自動計算シート※入力しないでください！ (2)</vt:lpstr>
      <vt:lpstr>調査票!Print_Area</vt:lpstr>
      <vt:lpstr>常勤換算計算表!Print_Titles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木倉　悠子</dc:creator>
  <cp:lastModifiedBy>嶋田　あかね</cp:lastModifiedBy>
  <cp:lastPrinted>2025-09-01T06:57:04Z</cp:lastPrinted>
  <dcterms:created xsi:type="dcterms:W3CDTF">2023-05-23T04:07:16Z</dcterms:created>
  <dcterms:modified xsi:type="dcterms:W3CDTF">2025-09-01T06:57:15Z</dcterms:modified>
</cp:coreProperties>
</file>